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passmark.net\corp\Exam Operations\QP Production\2024\Higher\Accounting\Coursework\Marking Instruction\Web\"/>
    </mc:Choice>
  </mc:AlternateContent>
  <xr:revisionPtr revIDLastSave="0" documentId="13_ncr:1_{40142DB2-9E6B-434D-AA15-BDD6629849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k 1a-b" sheetId="1" r:id="rId1"/>
    <sheet name="Task 2 Value" sheetId="2" r:id="rId2"/>
    <sheet name="Task 2 Formula " sheetId="5" r:id="rId3"/>
    <sheet name="Task 3a-c" sheetId="3" r:id="rId4"/>
    <sheet name="Task 3d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3" l="1"/>
  <c r="E94" i="3"/>
  <c r="F94" i="3"/>
  <c r="D94" i="3"/>
  <c r="D95" i="3" s="1"/>
  <c r="F86" i="3"/>
  <c r="F90" i="3" s="1"/>
  <c r="F97" i="3" s="1"/>
  <c r="D6" i="3"/>
  <c r="G94" i="3" l="1"/>
  <c r="B10" i="5"/>
  <c r="G74" i="3"/>
  <c r="G67" i="3"/>
  <c r="G72" i="3" l="1"/>
  <c r="G79" i="3" s="1"/>
  <c r="F48" i="3"/>
  <c r="B31" i="5"/>
  <c r="B30" i="5"/>
  <c r="B26" i="5"/>
  <c r="B25" i="5"/>
  <c r="B24" i="5"/>
  <c r="B23" i="5"/>
  <c r="D15" i="5"/>
  <c r="B30" i="2"/>
  <c r="B25" i="2"/>
  <c r="B24" i="2"/>
  <c r="B23" i="2"/>
  <c r="E37" i="3"/>
  <c r="C13" i="3"/>
  <c r="E6" i="3"/>
  <c r="C6" i="3"/>
  <c r="B22" i="1"/>
  <c r="B20" i="1"/>
  <c r="B32" i="5" l="1"/>
  <c r="B28" i="5"/>
  <c r="F25" i="3"/>
  <c r="C44" i="1"/>
  <c r="B49" i="1"/>
  <c r="C41" i="1"/>
  <c r="C42" i="1" s="1"/>
  <c r="B48" i="1"/>
  <c r="B13" i="1"/>
  <c r="C14" i="1" s="1"/>
  <c r="B21" i="1"/>
  <c r="E12" i="3"/>
  <c r="D12" i="3"/>
  <c r="C12" i="3"/>
  <c r="C14" i="3" s="1"/>
  <c r="B31" i="2"/>
  <c r="B26" i="2"/>
  <c r="E15" i="2"/>
  <c r="B10" i="2"/>
  <c r="B27" i="2" s="1"/>
  <c r="B29" i="2" s="1"/>
  <c r="B27" i="5"/>
  <c r="F42" i="3"/>
  <c r="E36" i="3"/>
  <c r="E13" i="3"/>
  <c r="D13" i="3"/>
  <c r="B29" i="5" l="1"/>
  <c r="C29" i="5"/>
  <c r="B32" i="2"/>
  <c r="B28" i="2"/>
  <c r="B33" i="2" s="1"/>
  <c r="B35" i="2" s="1"/>
  <c r="C49" i="1"/>
  <c r="C45" i="1"/>
  <c r="F35" i="3"/>
  <c r="F36" i="3" s="1"/>
  <c r="F37" i="3" s="1"/>
  <c r="C38" i="3" s="1"/>
  <c r="C47" i="1"/>
  <c r="D14" i="3"/>
  <c r="E14" i="3"/>
  <c r="C16" i="3"/>
  <c r="E16" i="3" l="1"/>
  <c r="E20" i="3" s="1"/>
  <c r="F49" i="3"/>
  <c r="C20" i="3"/>
  <c r="C28" i="3"/>
  <c r="C50" i="3" s="1"/>
  <c r="B33" i="5"/>
  <c r="B35" i="5" s="1"/>
  <c r="D16" i="3"/>
  <c r="C54" i="3" l="1"/>
  <c r="C86" i="3"/>
  <c r="C90" i="3" s="1"/>
  <c r="C97" i="3" s="1"/>
  <c r="E28" i="3"/>
  <c r="E50" i="3" s="1"/>
  <c r="E86" i="3" s="1"/>
  <c r="E90" i="3" s="1"/>
  <c r="E97" i="3" s="1"/>
  <c r="C41" i="3"/>
  <c r="C30" i="3"/>
  <c r="D20" i="3"/>
  <c r="F20" i="3" s="1"/>
  <c r="F22" i="3" s="1"/>
  <c r="D28" i="3"/>
  <c r="D41" i="3" s="1"/>
  <c r="E41" i="3" l="1"/>
  <c r="F41" i="3" s="1"/>
  <c r="F43" i="3" s="1"/>
  <c r="E30" i="3"/>
  <c r="D30" i="3"/>
  <c r="D50" i="3"/>
  <c r="F50" i="3"/>
  <c r="E54" i="3"/>
  <c r="D54" i="3" l="1"/>
  <c r="D86" i="3"/>
  <c r="D90" i="3" s="1"/>
  <c r="D97" i="3" s="1"/>
  <c r="G97" i="3" s="1"/>
  <c r="G99" i="3" s="1"/>
  <c r="G101" i="3" s="1"/>
  <c r="F54" i="3"/>
  <c r="D50" i="1"/>
  <c r="D51" i="1" s="1"/>
  <c r="B23" i="1"/>
  <c r="B18" i="1"/>
  <c r="C8" i="1"/>
  <c r="C10" i="1" s="1"/>
  <c r="C15" i="1" l="1"/>
  <c r="C23" i="1"/>
  <c r="C24" i="1" l="1"/>
  <c r="C26" i="1" l="1"/>
  <c r="C28" i="1" s="1"/>
  <c r="C29" i="1" s="1"/>
</calcChain>
</file>

<file path=xl/sharedStrings.xml><?xml version="1.0" encoding="utf-8"?>
<sst xmlns="http://schemas.openxmlformats.org/spreadsheetml/2006/main" count="291" uniqueCount="188">
  <si>
    <t>Task 1(a)</t>
  </si>
  <si>
    <t>Code</t>
  </si>
  <si>
    <t>Marks</t>
  </si>
  <si>
    <t>Max mark</t>
  </si>
  <si>
    <t>Additional Guidance</t>
  </si>
  <si>
    <r>
      <t xml:space="preserve">Manufacturing Account of OrthoBeds for the year ended 31 December Year 3 </t>
    </r>
    <r>
      <rPr>
        <b/>
        <sz val="11"/>
        <color rgb="FFFF0000"/>
        <rFont val="Wingdings"/>
        <charset val="2"/>
      </rPr>
      <t>ü</t>
    </r>
  </si>
  <si>
    <t>£000</t>
  </si>
  <si>
    <t>Opening Inventory of Raw Materials</t>
  </si>
  <si>
    <t>A</t>
  </si>
  <si>
    <t xml:space="preserve">Add Purchases of Raw Materials </t>
  </si>
  <si>
    <t>B</t>
  </si>
  <si>
    <t>Add Carriage In on Raw Materials</t>
  </si>
  <si>
    <t>Less Closing Inventory of Raw Materials</t>
  </si>
  <si>
    <r>
      <t xml:space="preserve">Cost of Raw Materials Consumed </t>
    </r>
    <r>
      <rPr>
        <sz val="11"/>
        <color rgb="FFFF0000"/>
        <rFont val="Wingdings"/>
        <charset val="2"/>
      </rPr>
      <t>ü</t>
    </r>
  </si>
  <si>
    <t>Add Direct Costs</t>
  </si>
  <si>
    <t>If direct costs or factory overheads are deducted but indicated as added, treat as arithmetical error</t>
  </si>
  <si>
    <t>Direct Manufacturing Wages (300*75%)</t>
  </si>
  <si>
    <t>Royalties</t>
  </si>
  <si>
    <t>C</t>
  </si>
  <si>
    <r>
      <t xml:space="preserve">Prime Cost </t>
    </r>
    <r>
      <rPr>
        <b/>
        <sz val="11"/>
        <color rgb="FFFF0000"/>
        <rFont val="Wingdings"/>
        <charset val="2"/>
      </rPr>
      <t>ü</t>
    </r>
  </si>
  <si>
    <t>Add Factory Overheads</t>
  </si>
  <si>
    <t>Indirect wages (300*20%)</t>
  </si>
  <si>
    <t xml:space="preserve">Factory supervisor salaries </t>
  </si>
  <si>
    <t>Factory heat and light (150*80%)</t>
  </si>
  <si>
    <t>Factory rent (30/15*12) * 50%</t>
  </si>
  <si>
    <t>Factory insurance (54+6)*3/4</t>
  </si>
  <si>
    <t>Depreciation on factory machinery (320-200)*25%</t>
  </si>
  <si>
    <t>Add Opening Inventory of Work in Progress</t>
  </si>
  <si>
    <t>D</t>
  </si>
  <si>
    <t>Less Closing Inventory of Work in Progress</t>
  </si>
  <si>
    <t>If Profit on Manufacture is labelled but is negative still award the mark</t>
  </si>
  <si>
    <r>
      <t xml:space="preserve">Factory Cost of Production </t>
    </r>
    <r>
      <rPr>
        <b/>
        <sz val="11"/>
        <color rgb="FFFF0000"/>
        <rFont val="Wingdings"/>
        <charset val="2"/>
      </rPr>
      <t>ü</t>
    </r>
  </si>
  <si>
    <t>Add Profit on Manufacture</t>
  </si>
  <si>
    <t>E</t>
  </si>
  <si>
    <r>
      <t xml:space="preserve">Wholesale/Market Value of Finished Goods </t>
    </r>
    <r>
      <rPr>
        <b/>
        <sz val="11"/>
        <color rgb="FFFF0000"/>
        <rFont val="Wingdings"/>
        <charset val="2"/>
      </rPr>
      <t>ü</t>
    </r>
  </si>
  <si>
    <t>Headings, labels, arithmetic, no extraneous</t>
  </si>
  <si>
    <r>
      <t>Income Statement of OrthoBeds</t>
    </r>
    <r>
      <rPr>
        <sz val="11"/>
        <color theme="1"/>
        <rFont val="Trebuchet MS"/>
        <family val="2"/>
      </rPr>
      <t xml:space="preserve"> </t>
    </r>
    <r>
      <rPr>
        <b/>
        <sz val="11"/>
        <color theme="1"/>
        <rFont val="Trebuchet MS"/>
        <family val="2"/>
      </rPr>
      <t xml:space="preserve">for the year ended 31 December Year 3 </t>
    </r>
    <r>
      <rPr>
        <b/>
        <sz val="11"/>
        <color rgb="FFFF0000"/>
        <rFont val="Wingdings"/>
        <charset val="2"/>
      </rPr>
      <t>ü</t>
    </r>
  </si>
  <si>
    <t>Sales Revenue</t>
  </si>
  <si>
    <t>F</t>
  </si>
  <si>
    <t>If any item repeated across both statements do not award in correct statement</t>
  </si>
  <si>
    <t>Less Cost of Sales</t>
  </si>
  <si>
    <t>Opening Inventory of Finished Goods</t>
  </si>
  <si>
    <t>G</t>
  </si>
  <si>
    <t>Add Wholesale/Market value of Finished Goods</t>
  </si>
  <si>
    <t>If Factory Cost of Production is included instead of Market Value, award 1 mark consequentially, provided it is the final figure shown in the Manufacturing Account</t>
  </si>
  <si>
    <t xml:space="preserve">Purchases of Finished Goods  </t>
  </si>
  <si>
    <t>H</t>
  </si>
  <si>
    <t xml:space="preserve">Less Purchases Returns of Finished Goods </t>
  </si>
  <si>
    <t>Less Closing Inventory of Finished Goods</t>
  </si>
  <si>
    <t>Warehouse wages (300*5%)</t>
  </si>
  <si>
    <t>If Carriage Out is included, do not award 1st available mark</t>
  </si>
  <si>
    <t>Warehouse rent (30/15*12)*25%</t>
  </si>
  <si>
    <t>Cost of Sales</t>
  </si>
  <si>
    <r>
      <t xml:space="preserve">Gross Profit </t>
    </r>
    <r>
      <rPr>
        <b/>
        <sz val="11"/>
        <color rgb="FFFF0000"/>
        <rFont val="Wingdings"/>
        <charset val="2"/>
      </rPr>
      <t>ü</t>
    </r>
  </si>
  <si>
    <t>Task 1(b)</t>
  </si>
  <si>
    <r>
      <rPr>
        <sz val="11"/>
        <color rgb="FF000000"/>
        <rFont val="Trebuchet MS"/>
      </rPr>
      <t xml:space="preserve">Royalties refer to payments made to a business for the right </t>
    </r>
    <r>
      <rPr>
        <b/>
        <u/>
        <sz val="11"/>
        <color rgb="FF000000"/>
        <rFont val="Trebuchet MS"/>
      </rPr>
      <t>to use</t>
    </r>
    <r>
      <rPr>
        <sz val="11"/>
        <color rgb="FF000000"/>
        <rFont val="Trebuchet MS"/>
      </rPr>
      <t xml:space="preserve"> their assets or intellectual property eg a patent.</t>
    </r>
  </si>
  <si>
    <t>Work-in-progress refers to goods that are only part complete (at the beginning or end of the accounting period).</t>
  </si>
  <si>
    <t>Task 2 - Value View</t>
  </si>
  <si>
    <t>Name</t>
  </si>
  <si>
    <t xml:space="preserve">1 - data </t>
  </si>
  <si>
    <t>SALARIES</t>
  </si>
  <si>
    <t>Canteen Supervisor</t>
  </si>
  <si>
    <t>Cooks</t>
  </si>
  <si>
    <t>Number of cooks</t>
  </si>
  <si>
    <t>WAGES - KITCHEN ASSISTANTS</t>
  </si>
  <si>
    <t>Basic pay per hour</t>
  </si>
  <si>
    <t>Basic hours</t>
  </si>
  <si>
    <t>ü</t>
  </si>
  <si>
    <t>Overtime rate per hour</t>
  </si>
  <si>
    <t>Overtime hours</t>
  </si>
  <si>
    <t>Number of kitchen assistants</t>
  </si>
  <si>
    <t>Kitchen Equipment cost</t>
  </si>
  <si>
    <t>Number of weeks canteen operational</t>
  </si>
  <si>
    <t>Estimated life - years</t>
  </si>
  <si>
    <t>Estimated number of meals per week</t>
  </si>
  <si>
    <t>Residual value</t>
  </si>
  <si>
    <t>Estimated number of meals per year</t>
  </si>
  <si>
    <t>Service costs per 20,000 meals</t>
  </si>
  <si>
    <t>Food and beverages per week</t>
  </si>
  <si>
    <t>Cleaning, laundry and miscellaneous per quarter</t>
  </si>
  <si>
    <t>Consumables per meal</t>
  </si>
  <si>
    <t>For all data</t>
  </si>
  <si>
    <t>Service Cost Statement for Staff Canteen</t>
  </si>
  <si>
    <t>Rent</t>
  </si>
  <si>
    <t>Renovation costs</t>
  </si>
  <si>
    <t>Depreciation</t>
  </si>
  <si>
    <t>Salaries</t>
  </si>
  <si>
    <t>Wages</t>
  </si>
  <si>
    <t>Service costs</t>
  </si>
  <si>
    <t>Administrative costs</t>
  </si>
  <si>
    <t>Food and beverages</t>
  </si>
  <si>
    <t>Cleaning, laundry and miscellaneous</t>
  </si>
  <si>
    <t>Consumables</t>
  </si>
  <si>
    <t>Total Annual Cost</t>
  </si>
  <si>
    <t>Cost per meal</t>
  </si>
  <si>
    <t>Task 2 - Formula View</t>
  </si>
  <si>
    <r>
      <t xml:space="preserve">If cell reference available, this </t>
    </r>
    <r>
      <rPr>
        <b/>
        <u/>
        <sz val="14"/>
        <color rgb="FFFF0000"/>
        <rFont val="Trebuchet MS"/>
        <family val="2"/>
      </rPr>
      <t>must</t>
    </r>
    <r>
      <rPr>
        <b/>
        <sz val="14"/>
        <color rgb="FFFF0000"/>
        <rFont val="Trebuchet MS"/>
        <family val="2"/>
      </rPr>
      <t xml:space="preserve"> be used within all formulae</t>
    </r>
  </si>
  <si>
    <t>Max Mark</t>
  </si>
  <si>
    <t xml:space="preserve">12 - formulae </t>
  </si>
  <si>
    <r>
      <t xml:space="preserve">Overtime rate per hour                  </t>
    </r>
    <r>
      <rPr>
        <b/>
        <sz val="11"/>
        <color rgb="FFFF0000"/>
        <rFont val="Wingdings"/>
        <charset val="2"/>
      </rPr>
      <t>ü</t>
    </r>
  </si>
  <si>
    <t>For both B10 and D15</t>
  </si>
  <si>
    <t>Rent is consequential on Warehouse Rent (£6,000) from Task 1a</t>
  </si>
  <si>
    <t>Do not award mark if 52 is referred to as a number instead of cell reference D13</t>
  </si>
  <si>
    <t>Accept the above alternative IF statement</t>
  </si>
  <si>
    <t>Task 3</t>
  </si>
  <si>
    <t xml:space="preserve">Additional guidance </t>
  </si>
  <si>
    <t>(a) (i)</t>
  </si>
  <si>
    <t>Classic</t>
  </si>
  <si>
    <t>Signature</t>
  </si>
  <si>
    <t>Comfort</t>
  </si>
  <si>
    <t>Machine hours per unit</t>
  </si>
  <si>
    <t>Year 3 Sales units</t>
  </si>
  <si>
    <t>Machine hours</t>
  </si>
  <si>
    <t>All or nothing</t>
  </si>
  <si>
    <t>(a) (ii)</t>
  </si>
  <si>
    <t>Selling Price per unit (bed)</t>
  </si>
  <si>
    <t>Less Variable Costs:</t>
  </si>
  <si>
    <t>Material Cost per unit</t>
  </si>
  <si>
    <t>row</t>
  </si>
  <si>
    <t>Labour Cost per unit</t>
  </si>
  <si>
    <t>Variable Overheads</t>
  </si>
  <si>
    <t>Variable costs per unit</t>
  </si>
  <si>
    <t>Contribution per unit</t>
  </si>
  <si>
    <t>1 mark per CPU</t>
  </si>
  <si>
    <t>(a) (iii)</t>
  </si>
  <si>
    <t>Units sold</t>
  </si>
  <si>
    <t>Contribution</t>
  </si>
  <si>
    <t>Less Fixed Costs</t>
  </si>
  <si>
    <t>Total Profit</t>
  </si>
  <si>
    <t>(b)(i)</t>
  </si>
  <si>
    <t>Machine hours at full capacity</t>
  </si>
  <si>
    <t>16,000/80x100</t>
  </si>
  <si>
    <t>Consequential to 1(a)(i)</t>
  </si>
  <si>
    <t>(b)(ii)</t>
  </si>
  <si>
    <t>Contribution per machine hour</t>
  </si>
  <si>
    <t>1 mark per CPMH</t>
  </si>
  <si>
    <t>Order of priority</t>
  </si>
  <si>
    <t>Demand</t>
  </si>
  <si>
    <t>(b)(iii)</t>
  </si>
  <si>
    <t>Quantity</t>
  </si>
  <si>
    <t>Mc Hrs per unit</t>
  </si>
  <si>
    <t>Total Hours</t>
  </si>
  <si>
    <t>Hours remaining</t>
  </si>
  <si>
    <t>If Order of Priority is not shown but applied correctly in (b) (iii), then award one mark for new order of priority in (b)(ii)</t>
  </si>
  <si>
    <t>Hours available at full capacity</t>
  </si>
  <si>
    <t>Hours allocated to Comfort</t>
  </si>
  <si>
    <t>Hours allocated to Classic</t>
  </si>
  <si>
    <t>Signature (2,800/5)</t>
  </si>
  <si>
    <t>(b)(iv)</t>
  </si>
  <si>
    <t>Profit</t>
  </si>
  <si>
    <t>(c )</t>
  </si>
  <si>
    <t>Special Order</t>
  </si>
  <si>
    <t>Selling Price</t>
  </si>
  <si>
    <t>Variable cost per unit</t>
  </si>
  <si>
    <t>If candidate indicates hours reduced for lowest contribution per machine hour product (Signature) from (b) (ii), award mark</t>
  </si>
  <si>
    <r>
      <rPr>
        <sz val="11"/>
        <color rgb="FF000000"/>
        <rFont val="Trebuchet MS"/>
      </rPr>
      <t xml:space="preserve">OrthoBeds should accept the special order </t>
    </r>
    <r>
      <rPr>
        <b/>
        <sz val="11"/>
        <color rgb="FFFF0000"/>
        <rFont val="Trebuchet MS"/>
      </rPr>
      <t>(1)</t>
    </r>
  </si>
  <si>
    <t>Only award marks if calculation considers the limited hours and order of priority based on Contribution per Machine Hour</t>
  </si>
  <si>
    <r>
      <rPr>
        <sz val="11"/>
        <color rgb="FF000000"/>
        <rFont val="Trebuchet MS"/>
      </rPr>
      <t xml:space="preserve">The contribution per machine hour is greater than Signature  </t>
    </r>
    <r>
      <rPr>
        <b/>
        <sz val="11"/>
        <color rgb="FFFF0000"/>
        <rFont val="Trebuchet MS"/>
      </rPr>
      <t xml:space="preserve">(1) </t>
    </r>
  </si>
  <si>
    <r>
      <rPr>
        <sz val="11"/>
        <color rgb="FF000000"/>
        <rFont val="Trebuchet MS"/>
      </rPr>
      <t xml:space="preserve">The profit increases by accepting the special order </t>
    </r>
    <r>
      <rPr>
        <b/>
        <sz val="11"/>
        <color rgb="FFFF0000"/>
        <rFont val="Trebuchet MS"/>
      </rPr>
      <t>(1)</t>
    </r>
  </si>
  <si>
    <t>Alternative method 1</t>
  </si>
  <si>
    <t>Profit from Special Order:</t>
  </si>
  <si>
    <t>Contribution based on units</t>
  </si>
  <si>
    <r>
      <t xml:space="preserve">350 units x £816 </t>
    </r>
    <r>
      <rPr>
        <b/>
        <sz val="11"/>
        <color rgb="FFFF0000"/>
        <rFont val="Trebuchet MS"/>
        <family val="2"/>
      </rPr>
      <t>(1)</t>
    </r>
    <r>
      <rPr>
        <sz val="11"/>
        <color theme="1"/>
        <rFont val="Trebuchet MS"/>
        <family val="2"/>
      </rPr>
      <t xml:space="preserve"> Contribution per unit</t>
    </r>
  </si>
  <si>
    <t>OR</t>
  </si>
  <si>
    <t>Contribution based on machine hours</t>
  </si>
  <si>
    <t xml:space="preserve">2,100 hours (350 units x 6 hours) x £136 Contribution per </t>
  </si>
  <si>
    <t>machine hour</t>
  </si>
  <si>
    <t>Less Delivery Costs</t>
  </si>
  <si>
    <t>Less loss of Contribution due to reduced units of Signature:</t>
  </si>
  <si>
    <t>(2,100 hours/5 machine hours) 420 units x £620 Contribution per unit</t>
  </si>
  <si>
    <t>2,100 hours x £124 Contribution per machine hour</t>
  </si>
  <si>
    <t>Increase in Profit</t>
  </si>
  <si>
    <t>Alternative method 2</t>
  </si>
  <si>
    <t>Total</t>
  </si>
  <si>
    <t>Machine hours allocated</t>
  </si>
  <si>
    <t>Candidates may calculate change in profit, however, this is not required in order to make a recommendation in this scenario
Ranking according to Contribution per Machine Hour is the crucial factor when making a suitable recommendation</t>
  </si>
  <si>
    <t>Units Produced</t>
  </si>
  <si>
    <t>Total Contribution</t>
  </si>
  <si>
    <t>Task 3(d)</t>
  </si>
  <si>
    <t>The benefits of decision making to a manufacturing business such as Orthobeds:</t>
  </si>
  <si>
    <r>
      <t xml:space="preserve">It helps to decide whether to accept or reject a special order. </t>
    </r>
    <r>
      <rPr>
        <sz val="11"/>
        <color rgb="FFFF0000"/>
        <rFont val="Trebuchet MS"/>
      </rPr>
      <t>(1)</t>
    </r>
  </si>
  <si>
    <r>
      <t xml:space="preserve">It helps to establish the quantity of each product to be produced to maximise profits </t>
    </r>
    <r>
      <rPr>
        <sz val="11"/>
        <color rgb="FFFF0000"/>
        <rFont val="Trebuchet MS"/>
      </rPr>
      <t>(1)</t>
    </r>
    <r>
      <rPr>
        <sz val="11"/>
        <color theme="1"/>
        <rFont val="Trebuchet MS"/>
      </rPr>
      <t xml:space="preserve">, taking account of a limiting factor. </t>
    </r>
    <r>
      <rPr>
        <sz val="11"/>
        <color rgb="FFFF0000"/>
        <rFont val="Trebuchet MS"/>
      </rPr>
      <t>(1)</t>
    </r>
  </si>
  <si>
    <r>
      <t xml:space="preserve">It assists in establishing an order of priority when producing a range of products. </t>
    </r>
    <r>
      <rPr>
        <sz val="11"/>
        <color rgb="FFFF0000"/>
        <rFont val="Trebuchet MS"/>
      </rPr>
      <t>(1)</t>
    </r>
  </si>
  <si>
    <r>
      <t xml:space="preserve">It assists when deciding to make or buy a component. </t>
    </r>
    <r>
      <rPr>
        <sz val="11"/>
        <color rgb="FFFF0000"/>
        <rFont val="Trebuchet MS"/>
      </rPr>
      <t>(1)</t>
    </r>
  </si>
  <si>
    <r>
      <t xml:space="preserve">It assists when deciding on whether to retain or close a factory or branch. </t>
    </r>
    <r>
      <rPr>
        <sz val="11"/>
        <color rgb="FFFF0000"/>
        <rFont val="Trebuchet MS"/>
      </rPr>
      <t>(1)</t>
    </r>
  </si>
  <si>
    <t>DO NOT ACCEPT generic responses eg it allows the business to plan ahead.</t>
  </si>
  <si>
    <t>DO NOT ACCEPT it highlights the products making the highest profit.</t>
  </si>
  <si>
    <t>If factory overheads are subtracted, award marks where possible and do not award Profit on Manufacture
If Factory Machinery (Cost) is included, do not award Depreciation on Factory Machinery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</si>
</sst>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164" formatCode="#,##0_ ;\-#,##0\ "/>
    <numFmt numFmtId="165" formatCode="&quot;£&quot;#,##0.00"/>
    <numFmt numFmtId="166" formatCode="&quot;£&quot;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b/>
      <sz val="11"/>
      <color rgb="FFFF0000"/>
      <name val="Wingdings"/>
      <charset val="2"/>
    </font>
    <font>
      <sz val="8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u/>
      <sz val="11"/>
      <color theme="1"/>
      <name val="Trebuchet MS"/>
      <family val="2"/>
    </font>
    <font>
      <sz val="11"/>
      <name val="Trebuchet MS"/>
      <family val="2"/>
    </font>
    <font>
      <sz val="11"/>
      <color rgb="FF00B050"/>
      <name val="Trebuchet MS"/>
      <family val="2"/>
    </font>
    <font>
      <sz val="11"/>
      <color rgb="FFFF0000"/>
      <name val="Wingdings"/>
      <charset val="2"/>
    </font>
    <font>
      <sz val="11"/>
      <color rgb="FF000000"/>
      <name val="Trebuchet MS"/>
    </font>
    <font>
      <b/>
      <u/>
      <sz val="11"/>
      <color rgb="FF000000"/>
      <name val="Trebuchet MS"/>
    </font>
    <font>
      <b/>
      <sz val="14"/>
      <color rgb="FFFF0000"/>
      <name val="Trebuchet MS"/>
      <family val="2"/>
    </font>
    <font>
      <b/>
      <u/>
      <sz val="14"/>
      <color rgb="FFFF0000"/>
      <name val="Trebuchet MS"/>
      <family val="2"/>
    </font>
    <font>
      <b/>
      <sz val="11"/>
      <color rgb="FFFF0000"/>
      <name val="Trebuchet MS"/>
    </font>
    <font>
      <sz val="11"/>
      <color theme="1"/>
      <name val="Trebuchet MS"/>
    </font>
    <font>
      <b/>
      <sz val="11"/>
      <color theme="1"/>
      <name val="Trebuchet MS"/>
    </font>
    <font>
      <b/>
      <sz val="11"/>
      <name val="Trebuchet MS"/>
    </font>
    <font>
      <sz val="11"/>
      <color rgb="FFFF0000"/>
      <name val="Trebuchet M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6" fontId="1" fillId="0" borderId="0" xfId="0" quotePrefix="1" applyNumberFormat="1" applyFont="1"/>
    <xf numFmtId="3" fontId="7" fillId="0" borderId="0" xfId="0" applyNumberFormat="1" applyFont="1"/>
    <xf numFmtId="3" fontId="7" fillId="0" borderId="1" xfId="0" applyNumberFormat="1" applyFont="1" applyBorder="1"/>
    <xf numFmtId="3" fontId="8" fillId="0" borderId="0" xfId="0" applyNumberFormat="1" applyFont="1"/>
    <xf numFmtId="0" fontId="9" fillId="0" borderId="0" xfId="0" applyFont="1"/>
    <xf numFmtId="0" fontId="7" fillId="0" borderId="0" xfId="0" applyFont="1" applyAlignment="1">
      <alignment wrapText="1"/>
    </xf>
    <xf numFmtId="3" fontId="7" fillId="0" borderId="2" xfId="0" applyNumberFormat="1" applyFont="1" applyBorder="1"/>
    <xf numFmtId="166" fontId="7" fillId="0" borderId="0" xfId="0" applyNumberFormat="1" applyFont="1"/>
    <xf numFmtId="3" fontId="7" fillId="0" borderId="0" xfId="0" applyNumberFormat="1" applyFont="1" applyAlignment="1">
      <alignment wrapText="1"/>
    </xf>
    <xf numFmtId="165" fontId="7" fillId="0" borderId="0" xfId="0" applyNumberFormat="1" applyFont="1"/>
    <xf numFmtId="0" fontId="2" fillId="0" borderId="0" xfId="0" applyFont="1" applyAlignment="1">
      <alignment horizontal="left"/>
    </xf>
    <xf numFmtId="3" fontId="10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left"/>
    </xf>
    <xf numFmtId="166" fontId="7" fillId="0" borderId="3" xfId="0" applyNumberFormat="1" applyFont="1" applyBorder="1"/>
    <xf numFmtId="0" fontId="11" fillId="0" borderId="0" xfId="0" applyFont="1"/>
    <xf numFmtId="0" fontId="2" fillId="0" borderId="0" xfId="0" applyFont="1" applyAlignment="1">
      <alignment horizontal="right"/>
    </xf>
    <xf numFmtId="166" fontId="10" fillId="0" borderId="0" xfId="0" applyNumberFormat="1" applyFont="1" applyAlignment="1">
      <alignment horizontal="right"/>
    </xf>
    <xf numFmtId="166" fontId="7" fillId="0" borderId="4" xfId="0" applyNumberFormat="1" applyFont="1" applyBorder="1"/>
    <xf numFmtId="0" fontId="7" fillId="0" borderId="4" xfId="0" applyFont="1" applyBorder="1"/>
    <xf numFmtId="3" fontId="7" fillId="0" borderId="4" xfId="0" applyNumberFormat="1" applyFont="1" applyBorder="1"/>
    <xf numFmtId="165" fontId="7" fillId="0" borderId="4" xfId="0" applyNumberFormat="1" applyFont="1" applyBorder="1"/>
    <xf numFmtId="0" fontId="2" fillId="0" borderId="0" xfId="0" applyFont="1" applyAlignment="1">
      <alignment horizontal="right" vertical="top"/>
    </xf>
    <xf numFmtId="3" fontId="1" fillId="0" borderId="0" xfId="0" applyNumberFormat="1" applyFont="1"/>
    <xf numFmtId="166" fontId="7" fillId="0" borderId="0" xfId="1" applyNumberFormat="1" applyFont="1"/>
    <xf numFmtId="166" fontId="7" fillId="0" borderId="1" xfId="1" applyNumberFormat="1" applyFont="1" applyBorder="1"/>
    <xf numFmtId="166" fontId="7" fillId="0" borderId="0" xfId="1" applyNumberFormat="1" applyFont="1" applyBorder="1"/>
    <xf numFmtId="3" fontId="2" fillId="0" borderId="0" xfId="1" applyNumberFormat="1" applyFont="1"/>
    <xf numFmtId="1" fontId="2" fillId="0" borderId="0" xfId="1" applyNumberFormat="1" applyFont="1"/>
    <xf numFmtId="166" fontId="1" fillId="0" borderId="1" xfId="1" applyNumberFormat="1" applyFont="1" applyBorder="1"/>
    <xf numFmtId="164" fontId="7" fillId="0" borderId="0" xfId="0" applyNumberFormat="1" applyFont="1"/>
    <xf numFmtId="166" fontId="7" fillId="0" borderId="1" xfId="0" applyNumberFormat="1" applyFont="1" applyBorder="1"/>
    <xf numFmtId="166" fontId="1" fillId="0" borderId="3" xfId="0" applyNumberFormat="1" applyFont="1" applyBorder="1"/>
    <xf numFmtId="166" fontId="7" fillId="2" borderId="0" xfId="0" applyNumberFormat="1" applyFont="1" applyFill="1"/>
    <xf numFmtId="166" fontId="7" fillId="2" borderId="1" xfId="0" applyNumberFormat="1" applyFont="1" applyFill="1" applyBorder="1"/>
    <xf numFmtId="44" fontId="7" fillId="0" borderId="0" xfId="0" applyNumberFormat="1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13" fillId="0" borderId="0" xfId="0" applyFont="1"/>
    <xf numFmtId="0" fontId="7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6" fontId="7" fillId="0" borderId="4" xfId="0" applyNumberFormat="1" applyFont="1" applyBorder="1" applyAlignment="1">
      <alignment horizontal="left"/>
    </xf>
    <xf numFmtId="165" fontId="7" fillId="0" borderId="0" xfId="0" applyNumberFormat="1" applyFont="1" applyAlignment="1">
      <alignment horizontal="left"/>
    </xf>
    <xf numFmtId="166" fontId="7" fillId="0" borderId="3" xfId="0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/>
    <xf numFmtId="166" fontId="7" fillId="0" borderId="5" xfId="0" applyNumberFormat="1" applyFont="1" applyBorder="1"/>
    <xf numFmtId="166" fontId="7" fillId="0" borderId="6" xfId="0" applyNumberFormat="1" applyFont="1" applyBorder="1"/>
    <xf numFmtId="3" fontId="7" fillId="0" borderId="5" xfId="0" applyNumberFormat="1" applyFont="1" applyBorder="1"/>
    <xf numFmtId="0" fontId="19" fillId="0" borderId="0" xfId="0" applyFont="1"/>
    <xf numFmtId="0" fontId="17" fillId="0" borderId="0" xfId="0" applyFont="1"/>
    <xf numFmtId="0" fontId="20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163831</xdr:colOff>
      <xdr:row>20</xdr:row>
      <xdr:rowOff>66674</xdr:rowOff>
    </xdr:from>
    <xdr:to>
      <xdr:col>6</xdr:col>
      <xdr:colOff>228600</xdr:colOff>
      <xdr:row>21</xdr:row>
      <xdr:rowOff>152400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4AF4BA49-C0E7-40ED-B064-04C3B61BF8A4}"/>
            </a:ext>
          </a:extLst>
        </xdr:cNvPr>
        <xdr:cNvSpPr/>
      </xdr:nvSpPr>
      <xdr:spPr>
        <a:xfrm>
          <a:off x="7256781" y="3749674"/>
          <a:ext cx="64769" cy="269876"/>
        </a:xfrm>
        <a:prstGeom prst="rightBracket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  <xdr:twoCellAnchor>
    <xdr:from>
      <xdr:col>6</xdr:col>
      <xdr:colOff>28575</xdr:colOff>
      <xdr:row>41</xdr:row>
      <xdr:rowOff>174625</xdr:rowOff>
    </xdr:from>
    <xdr:to>
      <xdr:col>6</xdr:col>
      <xdr:colOff>120650</xdr:colOff>
      <xdr:row>42</xdr:row>
      <xdr:rowOff>260350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ED589E1E-D2BB-4A59-A803-A0DF30C6E66F}"/>
            </a:ext>
          </a:extLst>
        </xdr:cNvPr>
        <xdr:cNvSpPr/>
      </xdr:nvSpPr>
      <xdr:spPr>
        <a:xfrm>
          <a:off x="7121525" y="8181975"/>
          <a:ext cx="92075" cy="415925"/>
        </a:xfrm>
        <a:prstGeom prst="rightBracket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 b="1"/>
        </a:p>
      </xdr:txBody>
    </xdr:sp>
    <xdr:clientData/>
  </xdr:twoCellAnchor>
  <xdr:twoCellAnchor>
    <xdr:from>
      <xdr:col>6</xdr:col>
      <xdr:colOff>47625</xdr:colOff>
      <xdr:row>53</xdr:row>
      <xdr:rowOff>66675</xdr:rowOff>
    </xdr:from>
    <xdr:to>
      <xdr:col>6</xdr:col>
      <xdr:colOff>139700</xdr:colOff>
      <xdr:row>55</xdr:row>
      <xdr:rowOff>104775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97FA69DF-D8F0-4BCD-879A-AC92FFA61132}"/>
            </a:ext>
            <a:ext uri="{147F2762-F138-4A5C-976F-8EAC2B608ADB}">
              <a16:predDERef xmlns:a16="http://schemas.microsoft.com/office/drawing/2014/main" pred="{ED589E1E-D2BB-4A59-A803-A0DF30C6E66F}"/>
            </a:ext>
          </a:extLst>
        </xdr:cNvPr>
        <xdr:cNvSpPr/>
      </xdr:nvSpPr>
      <xdr:spPr>
        <a:xfrm>
          <a:off x="7505700" y="10172700"/>
          <a:ext cx="92075" cy="409575"/>
        </a:xfrm>
        <a:prstGeom prst="rightBracket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tlCol="0" anchor="t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 b="1"/>
        </a:p>
      </xdr:txBody>
    </xdr:sp>
    <xdr:clientData/>
  </xdr:twoCellAnchor>
  <xdr:twoCellAnchor>
    <xdr:from>
      <xdr:col>6</xdr:col>
      <xdr:colOff>38100</xdr:colOff>
      <xdr:row>89</xdr:row>
      <xdr:rowOff>104775</xdr:rowOff>
    </xdr:from>
    <xdr:to>
      <xdr:col>6</xdr:col>
      <xdr:colOff>130175</xdr:colOff>
      <xdr:row>91</xdr:row>
      <xdr:rowOff>95250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593F6E70-5642-414E-912A-8E98283BE452}"/>
            </a:ext>
            <a:ext uri="{147F2762-F138-4A5C-976F-8EAC2B608ADB}">
              <a16:predDERef xmlns:a16="http://schemas.microsoft.com/office/drawing/2014/main" pred="{97FA69DF-D8F0-4BCD-879A-AC92FFA61132}"/>
            </a:ext>
          </a:extLst>
        </xdr:cNvPr>
        <xdr:cNvSpPr/>
      </xdr:nvSpPr>
      <xdr:spPr>
        <a:xfrm>
          <a:off x="7496175" y="17345025"/>
          <a:ext cx="92075" cy="409575"/>
        </a:xfrm>
        <a:prstGeom prst="rightBracket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tlCol="0" anchor="t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workbookViewId="0"/>
  </sheetViews>
  <sheetFormatPr defaultColWidth="8.6640625" defaultRowHeight="14.4" x14ac:dyDescent="0.3"/>
  <cols>
    <col min="1" max="1" width="50.109375" style="4" customWidth="1"/>
    <col min="2" max="2" width="10.109375" style="4" customWidth="1"/>
    <col min="3" max="3" width="10.5546875" style="4" customWidth="1"/>
    <col min="4" max="4" width="11.6640625" style="4" customWidth="1"/>
    <col min="5" max="5" width="7" style="4" bestFit="1" customWidth="1"/>
    <col min="6" max="6" width="7.109375" style="4" customWidth="1"/>
    <col min="7" max="7" width="13.33203125" style="4" customWidth="1"/>
    <col min="8" max="8" width="38" style="4" customWidth="1"/>
    <col min="9" max="16384" width="8.6640625" style="4"/>
  </cols>
  <sheetData>
    <row r="1" spans="1:9" s="1" customFormat="1" ht="16.5" x14ac:dyDescent="0.3">
      <c r="A1" s="1" t="s">
        <v>0</v>
      </c>
      <c r="E1" s="1" t="s">
        <v>1</v>
      </c>
      <c r="F1" s="2" t="s">
        <v>2</v>
      </c>
      <c r="G1" s="3" t="s">
        <v>3</v>
      </c>
      <c r="H1" s="1" t="s">
        <v>4</v>
      </c>
    </row>
    <row r="2" spans="1:9" x14ac:dyDescent="0.3">
      <c r="A2" s="1" t="s">
        <v>5</v>
      </c>
      <c r="F2" s="2"/>
      <c r="G2" s="2">
        <v>18</v>
      </c>
    </row>
    <row r="3" spans="1:9" ht="16.5" x14ac:dyDescent="0.3">
      <c r="A3" s="1"/>
      <c r="B3" s="5"/>
      <c r="C3" s="5"/>
      <c r="D3" s="5"/>
      <c r="F3" s="2"/>
      <c r="G3" s="5"/>
    </row>
    <row r="4" spans="1:9" x14ac:dyDescent="0.3">
      <c r="B4" s="6" t="s">
        <v>6</v>
      </c>
      <c r="C4" s="6" t="s">
        <v>6</v>
      </c>
      <c r="D4" s="6"/>
      <c r="F4" s="2"/>
    </row>
    <row r="5" spans="1:9" ht="16.5" x14ac:dyDescent="0.3">
      <c r="A5" s="4" t="s">
        <v>7</v>
      </c>
      <c r="B5" s="7"/>
      <c r="C5" s="7">
        <v>60</v>
      </c>
      <c r="D5" s="7"/>
      <c r="E5" s="4" t="s">
        <v>8</v>
      </c>
      <c r="F5" s="2"/>
    </row>
    <row r="6" spans="1:9" ht="16.5" x14ac:dyDescent="0.3">
      <c r="A6" s="4" t="s">
        <v>9</v>
      </c>
      <c r="B6" s="7"/>
      <c r="C6" s="7">
        <v>850</v>
      </c>
      <c r="D6" s="7"/>
      <c r="E6" s="4" t="s">
        <v>10</v>
      </c>
      <c r="F6" s="2"/>
    </row>
    <row r="7" spans="1:9" ht="16.5" x14ac:dyDescent="0.3">
      <c r="A7" s="4" t="s">
        <v>11</v>
      </c>
      <c r="B7" s="7"/>
      <c r="C7" s="8">
        <v>15</v>
      </c>
      <c r="D7" s="7"/>
      <c r="E7" s="4" t="s">
        <v>10</v>
      </c>
      <c r="F7" s="2">
        <v>1</v>
      </c>
    </row>
    <row r="8" spans="1:9" ht="16.5" x14ac:dyDescent="0.3">
      <c r="B8" s="7"/>
      <c r="C8" s="7">
        <f>SUM(C5:C7)</f>
        <v>925</v>
      </c>
      <c r="D8" s="7"/>
      <c r="F8" s="2"/>
    </row>
    <row r="9" spans="1:9" ht="16.5" x14ac:dyDescent="0.3">
      <c r="A9" s="4" t="s">
        <v>12</v>
      </c>
      <c r="B9" s="7"/>
      <c r="C9" s="8">
        <v>45</v>
      </c>
      <c r="D9" s="7"/>
      <c r="E9" s="4" t="s">
        <v>8</v>
      </c>
      <c r="F9" s="2">
        <v>1</v>
      </c>
    </row>
    <row r="10" spans="1:9" x14ac:dyDescent="0.3">
      <c r="A10" s="1" t="s">
        <v>13</v>
      </c>
      <c r="B10" s="9"/>
      <c r="C10" s="7">
        <f>C8-C9</f>
        <v>880</v>
      </c>
      <c r="D10" s="7"/>
      <c r="F10" s="2"/>
    </row>
    <row r="11" spans="1:9" ht="16.5" x14ac:dyDescent="0.3">
      <c r="A11" s="1"/>
      <c r="B11" s="9"/>
      <c r="C11" s="7"/>
      <c r="D11" s="7"/>
      <c r="F11" s="2"/>
    </row>
    <row r="12" spans="1:9" ht="16.5" customHeight="1" x14ac:dyDescent="0.3">
      <c r="A12" s="10" t="s">
        <v>14</v>
      </c>
      <c r="B12" s="9"/>
      <c r="C12" s="7"/>
      <c r="D12" s="7"/>
      <c r="F12" s="2"/>
      <c r="H12" s="70" t="s">
        <v>15</v>
      </c>
      <c r="I12" s="11"/>
    </row>
    <row r="13" spans="1:9" x14ac:dyDescent="0.3">
      <c r="A13" s="4" t="s">
        <v>16</v>
      </c>
      <c r="B13" s="7">
        <f>300*0.75</f>
        <v>225</v>
      </c>
      <c r="C13" s="7"/>
      <c r="D13" s="7"/>
      <c r="F13" s="2">
        <v>1</v>
      </c>
      <c r="G13" s="11"/>
      <c r="H13" s="70"/>
      <c r="I13" s="11"/>
    </row>
    <row r="14" spans="1:9" ht="15" customHeight="1" x14ac:dyDescent="0.3">
      <c r="A14" s="4" t="s">
        <v>17</v>
      </c>
      <c r="B14" s="8">
        <v>15</v>
      </c>
      <c r="C14" s="8">
        <f>SUM(B13:B14)</f>
        <v>240</v>
      </c>
      <c r="D14" s="7"/>
      <c r="E14" s="4" t="s">
        <v>18</v>
      </c>
      <c r="F14" s="2"/>
      <c r="G14" s="11"/>
      <c r="H14" s="70"/>
      <c r="I14" s="11"/>
    </row>
    <row r="15" spans="1:9" x14ac:dyDescent="0.3">
      <c r="A15" s="1" t="s">
        <v>19</v>
      </c>
      <c r="B15" s="7"/>
      <c r="C15" s="7">
        <f>SUM(C10:C14)</f>
        <v>1120</v>
      </c>
      <c r="D15" s="7"/>
      <c r="F15" s="2"/>
      <c r="G15" s="11"/>
      <c r="H15" s="70"/>
      <c r="I15" s="11"/>
    </row>
    <row r="16" spans="1:9" ht="16.5" x14ac:dyDescent="0.3">
      <c r="A16" s="1"/>
      <c r="B16" s="7"/>
      <c r="C16" s="7"/>
      <c r="D16" s="7"/>
      <c r="F16" s="2"/>
      <c r="G16" s="11"/>
    </row>
    <row r="17" spans="1:8" ht="16.5" x14ac:dyDescent="0.3">
      <c r="A17" s="10" t="s">
        <v>20</v>
      </c>
      <c r="B17" s="7"/>
      <c r="C17" s="7"/>
      <c r="D17" s="7"/>
      <c r="F17" s="2"/>
    </row>
    <row r="18" spans="1:8" ht="14.4" customHeight="1" x14ac:dyDescent="0.3">
      <c r="A18" s="4" t="s">
        <v>21</v>
      </c>
      <c r="B18" s="7">
        <f>300*0.2</f>
        <v>60</v>
      </c>
      <c r="C18" s="7"/>
      <c r="D18" s="7"/>
      <c r="F18" s="2">
        <v>1</v>
      </c>
      <c r="H18" s="71" t="s">
        <v>187</v>
      </c>
    </row>
    <row r="19" spans="1:8" x14ac:dyDescent="0.3">
      <c r="A19" s="4" t="s">
        <v>22</v>
      </c>
      <c r="B19" s="7">
        <v>74</v>
      </c>
      <c r="C19" s="7"/>
      <c r="D19" s="7"/>
      <c r="E19" s="4" t="s">
        <v>18</v>
      </c>
      <c r="F19" s="2">
        <v>1</v>
      </c>
      <c r="H19" s="71"/>
    </row>
    <row r="20" spans="1:8" x14ac:dyDescent="0.3">
      <c r="A20" s="4" t="s">
        <v>23</v>
      </c>
      <c r="B20" s="7">
        <f>150*0.8</f>
        <v>120</v>
      </c>
      <c r="C20" s="7"/>
      <c r="D20" s="7"/>
      <c r="F20" s="2">
        <v>1</v>
      </c>
      <c r="H20" s="71"/>
    </row>
    <row r="21" spans="1:8" x14ac:dyDescent="0.3">
      <c r="A21" s="4" t="s">
        <v>24</v>
      </c>
      <c r="B21" s="7">
        <f>(30/15*12)*0.5</f>
        <v>12</v>
      </c>
      <c r="C21" s="7"/>
      <c r="D21" s="7"/>
      <c r="F21" s="2">
        <v>1</v>
      </c>
      <c r="H21" s="71"/>
    </row>
    <row r="22" spans="1:8" x14ac:dyDescent="0.3">
      <c r="A22" s="4" t="s">
        <v>25</v>
      </c>
      <c r="B22" s="7">
        <f>(54+6)*3/4</f>
        <v>45</v>
      </c>
      <c r="C22" s="7"/>
      <c r="D22" s="7"/>
      <c r="F22" s="2">
        <v>1</v>
      </c>
      <c r="H22" s="71"/>
    </row>
    <row r="23" spans="1:8" x14ac:dyDescent="0.3">
      <c r="A23" s="4" t="s">
        <v>26</v>
      </c>
      <c r="B23" s="8">
        <f>(320-200)*0.25</f>
        <v>30</v>
      </c>
      <c r="C23" s="8">
        <f>SUM(B18:B23)</f>
        <v>341</v>
      </c>
      <c r="D23" s="7"/>
      <c r="F23" s="2">
        <v>1</v>
      </c>
      <c r="H23" s="71"/>
    </row>
    <row r="24" spans="1:8" ht="18" customHeight="1" x14ac:dyDescent="0.3">
      <c r="B24" s="7"/>
      <c r="C24" s="7">
        <f>C15+C23</f>
        <v>1461</v>
      </c>
      <c r="D24" s="7"/>
      <c r="F24" s="2"/>
      <c r="H24" s="71"/>
    </row>
    <row r="25" spans="1:8" ht="16.5" x14ac:dyDescent="0.3">
      <c r="A25" s="4" t="s">
        <v>27</v>
      </c>
      <c r="B25" s="7"/>
      <c r="C25" s="8">
        <v>75</v>
      </c>
      <c r="D25" s="7"/>
      <c r="E25" s="4" t="s">
        <v>28</v>
      </c>
      <c r="F25" s="2"/>
    </row>
    <row r="26" spans="1:8" ht="16.5" x14ac:dyDescent="0.3">
      <c r="B26" s="7"/>
      <c r="C26" s="7">
        <f>C24+C25</f>
        <v>1536</v>
      </c>
      <c r="D26" s="7"/>
      <c r="F26" s="2"/>
    </row>
    <row r="27" spans="1:8" x14ac:dyDescent="0.3">
      <c r="A27" s="4" t="s">
        <v>29</v>
      </c>
      <c r="B27" s="7"/>
      <c r="C27" s="8">
        <v>42</v>
      </c>
      <c r="D27" s="7"/>
      <c r="E27" s="4" t="s">
        <v>28</v>
      </c>
      <c r="F27" s="2">
        <v>1</v>
      </c>
      <c r="H27" s="70" t="s">
        <v>30</v>
      </c>
    </row>
    <row r="28" spans="1:8" x14ac:dyDescent="0.3">
      <c r="A28" s="1" t="s">
        <v>31</v>
      </c>
      <c r="B28" s="7"/>
      <c r="C28" s="7">
        <f>C26-C27</f>
        <v>1494</v>
      </c>
      <c r="D28" s="7"/>
      <c r="F28" s="2"/>
      <c r="H28" s="70"/>
    </row>
    <row r="29" spans="1:8" ht="14.4" customHeight="1" x14ac:dyDescent="0.3">
      <c r="A29" s="4" t="s">
        <v>32</v>
      </c>
      <c r="B29" s="7"/>
      <c r="C29" s="7">
        <f>C30-C28</f>
        <v>506</v>
      </c>
      <c r="D29" s="7"/>
      <c r="E29" s="4" t="s">
        <v>33</v>
      </c>
      <c r="F29" s="2"/>
      <c r="H29" s="70"/>
    </row>
    <row r="30" spans="1:8" ht="15" thickBot="1" x14ac:dyDescent="0.35">
      <c r="A30" s="1" t="s">
        <v>34</v>
      </c>
      <c r="B30" s="9"/>
      <c r="C30" s="12">
        <v>2000</v>
      </c>
      <c r="D30" s="7"/>
      <c r="E30" s="4" t="s">
        <v>33</v>
      </c>
      <c r="F30" s="2">
        <v>1</v>
      </c>
      <c r="H30" s="70"/>
    </row>
    <row r="31" spans="1:8" ht="15" thickTop="1" x14ac:dyDescent="0.3">
      <c r="A31" s="1"/>
      <c r="B31" s="9"/>
      <c r="C31" s="7"/>
      <c r="D31" s="7"/>
      <c r="F31" s="2"/>
    </row>
    <row r="32" spans="1:8" x14ac:dyDescent="0.3">
      <c r="A32" s="2" t="s">
        <v>35</v>
      </c>
      <c r="F32" s="2">
        <v>1</v>
      </c>
    </row>
    <row r="33" spans="1:8" x14ac:dyDescent="0.3">
      <c r="E33" s="2"/>
    </row>
    <row r="34" spans="1:8" x14ac:dyDescent="0.3">
      <c r="A34" s="1" t="s">
        <v>36</v>
      </c>
      <c r="B34" s="1"/>
      <c r="C34" s="5"/>
      <c r="F34" s="2"/>
    </row>
    <row r="35" spans="1:8" x14ac:dyDescent="0.3">
      <c r="A35" s="1"/>
      <c r="B35" s="1"/>
      <c r="C35" s="5"/>
      <c r="F35" s="2"/>
    </row>
    <row r="36" spans="1:8" x14ac:dyDescent="0.3">
      <c r="B36" s="6" t="s">
        <v>6</v>
      </c>
      <c r="C36" s="6" t="s">
        <v>6</v>
      </c>
      <c r="D36" s="6" t="s">
        <v>6</v>
      </c>
      <c r="E36" s="6"/>
      <c r="F36" s="2"/>
    </row>
    <row r="37" spans="1:8" x14ac:dyDescent="0.3">
      <c r="A37" s="4" t="s">
        <v>37</v>
      </c>
      <c r="C37" s="7"/>
      <c r="D37" s="7">
        <v>2460</v>
      </c>
      <c r="E37" s="4" t="s">
        <v>38</v>
      </c>
      <c r="F37" s="2"/>
      <c r="H37" s="70" t="s">
        <v>39</v>
      </c>
    </row>
    <row r="38" spans="1:8" x14ac:dyDescent="0.3">
      <c r="C38" s="7"/>
      <c r="D38" s="7"/>
      <c r="F38" s="2"/>
      <c r="H38" s="70"/>
    </row>
    <row r="39" spans="1:8" x14ac:dyDescent="0.3">
      <c r="A39" s="10" t="s">
        <v>40</v>
      </c>
      <c r="B39" s="10"/>
      <c r="C39" s="7"/>
      <c r="D39" s="7"/>
      <c r="F39" s="2"/>
      <c r="H39" s="70"/>
    </row>
    <row r="40" spans="1:8" x14ac:dyDescent="0.3">
      <c r="A40" s="4" t="s">
        <v>41</v>
      </c>
      <c r="C40" s="7">
        <v>135</v>
      </c>
      <c r="D40" s="7"/>
      <c r="E40" s="4" t="s">
        <v>42</v>
      </c>
      <c r="F40" s="2"/>
    </row>
    <row r="41" spans="1:8" x14ac:dyDescent="0.3">
      <c r="A41" s="4" t="s">
        <v>43</v>
      </c>
      <c r="C41" s="8">
        <f>C30</f>
        <v>2000</v>
      </c>
      <c r="D41" s="7"/>
      <c r="E41" s="4" t="s">
        <v>38</v>
      </c>
      <c r="F41" s="2">
        <v>1</v>
      </c>
      <c r="H41" s="70" t="s">
        <v>44</v>
      </c>
    </row>
    <row r="42" spans="1:8" x14ac:dyDescent="0.3">
      <c r="C42" s="7">
        <f>SUM(C40:C41)</f>
        <v>2135</v>
      </c>
      <c r="D42" s="7"/>
      <c r="F42" s="2"/>
      <c r="H42" s="70"/>
    </row>
    <row r="43" spans="1:8" x14ac:dyDescent="0.3">
      <c r="A43" s="4" t="s">
        <v>45</v>
      </c>
      <c r="B43" s="7">
        <v>105</v>
      </c>
      <c r="D43" s="7"/>
      <c r="E43" s="4" t="s">
        <v>46</v>
      </c>
      <c r="F43" s="2"/>
      <c r="H43" s="70"/>
    </row>
    <row r="44" spans="1:8" x14ac:dyDescent="0.3">
      <c r="A44" s="4" t="s">
        <v>47</v>
      </c>
      <c r="B44" s="8">
        <v>15</v>
      </c>
      <c r="C44" s="8">
        <f>B43-B44</f>
        <v>90</v>
      </c>
      <c r="D44" s="7"/>
      <c r="E44" s="4" t="s">
        <v>46</v>
      </c>
      <c r="F44" s="2">
        <v>1</v>
      </c>
      <c r="H44" s="70"/>
    </row>
    <row r="45" spans="1:8" x14ac:dyDescent="0.3">
      <c r="C45" s="7">
        <f>C42+C44</f>
        <v>2225</v>
      </c>
      <c r="D45" s="7"/>
      <c r="F45" s="2"/>
      <c r="H45" s="70"/>
    </row>
    <row r="46" spans="1:8" x14ac:dyDescent="0.3">
      <c r="A46" s="4" t="s">
        <v>48</v>
      </c>
      <c r="C46" s="8">
        <v>120</v>
      </c>
      <c r="D46" s="7"/>
      <c r="E46" s="4" t="s">
        <v>42</v>
      </c>
      <c r="F46" s="2">
        <v>1</v>
      </c>
      <c r="H46" s="70"/>
    </row>
    <row r="47" spans="1:8" x14ac:dyDescent="0.3">
      <c r="C47" s="7">
        <f>C45-C46</f>
        <v>2105</v>
      </c>
      <c r="D47" s="7"/>
      <c r="F47" s="2"/>
    </row>
    <row r="48" spans="1:8" ht="14.4" customHeight="1" x14ac:dyDescent="0.3">
      <c r="A48" s="4" t="s">
        <v>49</v>
      </c>
      <c r="B48" s="7">
        <f>300*0.05</f>
        <v>15</v>
      </c>
      <c r="D48" s="7"/>
      <c r="F48" s="2">
        <v>1</v>
      </c>
      <c r="H48" s="70" t="s">
        <v>50</v>
      </c>
    </row>
    <row r="49" spans="1:8" ht="14.4" customHeight="1" x14ac:dyDescent="0.3">
      <c r="A49" s="4" t="s">
        <v>51</v>
      </c>
      <c r="B49" s="8">
        <f>30/15*12*0.25</f>
        <v>6</v>
      </c>
      <c r="C49" s="8">
        <f>SUM(B48:B49)</f>
        <v>21</v>
      </c>
      <c r="D49" s="7"/>
      <c r="F49" s="2">
        <v>1</v>
      </c>
      <c r="H49" s="70"/>
    </row>
    <row r="50" spans="1:8" x14ac:dyDescent="0.3">
      <c r="A50" s="4" t="s">
        <v>52</v>
      </c>
      <c r="C50" s="7"/>
      <c r="D50" s="8">
        <f>C47+B48+B49</f>
        <v>2126</v>
      </c>
      <c r="F50" s="2"/>
    </row>
    <row r="51" spans="1:8" ht="15" thickBot="1" x14ac:dyDescent="0.35">
      <c r="A51" s="1" t="s">
        <v>53</v>
      </c>
      <c r="B51" s="1"/>
      <c r="C51" s="7"/>
      <c r="D51" s="12">
        <f>D37-D50</f>
        <v>334</v>
      </c>
      <c r="F51" s="2"/>
    </row>
    <row r="52" spans="1:8" ht="15" thickTop="1" x14ac:dyDescent="0.3">
      <c r="E52" s="2"/>
    </row>
    <row r="53" spans="1:8" x14ac:dyDescent="0.3">
      <c r="A53" s="2" t="s">
        <v>35</v>
      </c>
      <c r="E53" s="2"/>
      <c r="F53" s="2">
        <v>1</v>
      </c>
    </row>
    <row r="54" spans="1:8" x14ac:dyDescent="0.3">
      <c r="A54" s="2"/>
      <c r="E54" s="2"/>
    </row>
    <row r="55" spans="1:8" x14ac:dyDescent="0.3">
      <c r="A55" s="1" t="s">
        <v>54</v>
      </c>
      <c r="E55" s="2"/>
    </row>
    <row r="56" spans="1:8" x14ac:dyDescent="0.3">
      <c r="A56" s="50" t="s">
        <v>55</v>
      </c>
      <c r="D56" s="2"/>
      <c r="E56" s="2"/>
      <c r="F56" s="5"/>
      <c r="H56" s="16">
        <v>1</v>
      </c>
    </row>
    <row r="57" spans="1:8" x14ac:dyDescent="0.3">
      <c r="D57" s="2"/>
      <c r="E57" s="2"/>
      <c r="F57" s="5"/>
      <c r="H57" s="16"/>
    </row>
    <row r="58" spans="1:8" x14ac:dyDescent="0.3">
      <c r="A58" s="4" t="s">
        <v>56</v>
      </c>
      <c r="H58" s="16">
        <v>1</v>
      </c>
    </row>
  </sheetData>
  <mergeCells count="6">
    <mergeCell ref="H48:H49"/>
    <mergeCell ref="H41:H46"/>
    <mergeCell ref="H27:H30"/>
    <mergeCell ref="H37:H39"/>
    <mergeCell ref="H12:H15"/>
    <mergeCell ref="H18:H24"/>
  </mergeCells>
  <printOptions gridLines="1"/>
  <pageMargins left="0.7" right="0.7" top="0.75" bottom="0.75" header="0.3" footer="0.3"/>
  <pageSetup paperSize="9" scale="55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workbookViewId="0">
      <selection activeCell="F9" sqref="F9"/>
    </sheetView>
  </sheetViews>
  <sheetFormatPr defaultColWidth="8.6640625" defaultRowHeight="14.4" x14ac:dyDescent="0.3"/>
  <cols>
    <col min="1" max="1" width="48.33203125" style="4" customWidth="1"/>
    <col min="2" max="2" width="16.109375" style="4" customWidth="1"/>
    <col min="3" max="3" width="6.44140625" style="4" customWidth="1"/>
    <col min="4" max="4" width="38.88671875" style="4" customWidth="1"/>
    <col min="5" max="5" width="13" style="4" customWidth="1"/>
    <col min="6" max="6" width="8.33203125" style="4" customWidth="1"/>
    <col min="7" max="7" width="12.5546875" style="4" customWidth="1"/>
    <col min="8" max="8" width="46.109375" style="4" customWidth="1"/>
    <col min="9" max="16384" width="8.6640625" style="4"/>
  </cols>
  <sheetData>
    <row r="1" spans="1:7" s="1" customFormat="1" ht="16.5" x14ac:dyDescent="0.3">
      <c r="A1" s="1" t="s">
        <v>57</v>
      </c>
      <c r="F1" s="2" t="s">
        <v>2</v>
      </c>
      <c r="G1" s="3" t="s">
        <v>3</v>
      </c>
    </row>
    <row r="2" spans="1:7" ht="16.5" x14ac:dyDescent="0.3">
      <c r="A2" s="1" t="s">
        <v>58</v>
      </c>
      <c r="B2" s="1"/>
      <c r="C2" s="1"/>
      <c r="D2" s="1"/>
      <c r="G2" s="4" t="s">
        <v>59</v>
      </c>
    </row>
    <row r="4" spans="1:7" ht="16.5" x14ac:dyDescent="0.3">
      <c r="A4" s="1" t="s">
        <v>60</v>
      </c>
    </row>
    <row r="5" spans="1:7" ht="16.5" x14ac:dyDescent="0.3">
      <c r="A5" s="4" t="s">
        <v>61</v>
      </c>
      <c r="B5" s="13">
        <v>35000</v>
      </c>
      <c r="C5" s="13"/>
      <c r="D5" s="7"/>
    </row>
    <row r="6" spans="1:7" ht="16.5" x14ac:dyDescent="0.3">
      <c r="A6" s="4" t="s">
        <v>62</v>
      </c>
      <c r="B6" s="13">
        <v>27000</v>
      </c>
      <c r="C6" s="13"/>
      <c r="D6" s="7" t="s">
        <v>63</v>
      </c>
      <c r="E6" s="4">
        <v>2</v>
      </c>
    </row>
    <row r="7" spans="1:7" ht="16.5" x14ac:dyDescent="0.3">
      <c r="B7" s="7"/>
      <c r="C7" s="7"/>
      <c r="D7" s="7"/>
    </row>
    <row r="8" spans="1:7" ht="17.25" thickBot="1" x14ac:dyDescent="0.35">
      <c r="A8" s="1" t="s">
        <v>64</v>
      </c>
      <c r="B8" s="7"/>
      <c r="C8" s="7"/>
      <c r="D8" s="7"/>
    </row>
    <row r="9" spans="1:7" ht="15" thickBot="1" x14ac:dyDescent="0.35">
      <c r="A9" s="4" t="s">
        <v>65</v>
      </c>
      <c r="B9" s="13">
        <v>12</v>
      </c>
      <c r="C9" s="13"/>
      <c r="D9" s="7" t="s">
        <v>66</v>
      </c>
      <c r="E9" s="25">
        <v>35</v>
      </c>
      <c r="F9" s="47" t="s">
        <v>67</v>
      </c>
    </row>
    <row r="10" spans="1:7" ht="15" thickBot="1" x14ac:dyDescent="0.35">
      <c r="A10" s="4" t="s">
        <v>68</v>
      </c>
      <c r="B10" s="13">
        <f>B9*2</f>
        <v>24</v>
      </c>
      <c r="C10" s="13"/>
      <c r="D10" s="7" t="s">
        <v>69</v>
      </c>
      <c r="E10" s="25">
        <v>5</v>
      </c>
      <c r="F10" s="47" t="s">
        <v>67</v>
      </c>
    </row>
    <row r="11" spans="1:7" ht="16.5" x14ac:dyDescent="0.3">
      <c r="A11" s="4" t="s">
        <v>70</v>
      </c>
      <c r="B11" s="7">
        <v>3</v>
      </c>
      <c r="C11" s="7"/>
      <c r="D11" s="7"/>
    </row>
    <row r="12" spans="1:7" ht="17.25" thickBot="1" x14ac:dyDescent="0.35">
      <c r="B12" s="7"/>
      <c r="C12" s="7"/>
      <c r="D12" s="7"/>
    </row>
    <row r="13" spans="1:7" ht="15" thickBot="1" x14ac:dyDescent="0.35">
      <c r="A13" s="4" t="s">
        <v>71</v>
      </c>
      <c r="B13" s="13">
        <v>150000</v>
      </c>
      <c r="C13" s="13"/>
      <c r="D13" s="14" t="s">
        <v>72</v>
      </c>
      <c r="E13" s="25">
        <v>52</v>
      </c>
      <c r="F13" s="47" t="s">
        <v>67</v>
      </c>
    </row>
    <row r="14" spans="1:7" ht="15" thickBot="1" x14ac:dyDescent="0.35">
      <c r="A14" s="4" t="s">
        <v>73</v>
      </c>
      <c r="B14" s="26">
        <v>10</v>
      </c>
      <c r="C14" s="47" t="s">
        <v>67</v>
      </c>
      <c r="D14" s="14" t="s">
        <v>74</v>
      </c>
      <c r="E14" s="26">
        <v>2500</v>
      </c>
      <c r="F14" s="47" t="s">
        <v>67</v>
      </c>
    </row>
    <row r="15" spans="1:7" ht="15" thickBot="1" x14ac:dyDescent="0.35">
      <c r="A15" s="4" t="s">
        <v>75</v>
      </c>
      <c r="B15" s="24">
        <v>10000</v>
      </c>
      <c r="C15" s="47" t="s">
        <v>67</v>
      </c>
      <c r="D15" s="14" t="s">
        <v>76</v>
      </c>
      <c r="E15" s="7">
        <f>E14*E13</f>
        <v>130000</v>
      </c>
    </row>
    <row r="16" spans="1:7" ht="17.25" thickBot="1" x14ac:dyDescent="0.35">
      <c r="B16" s="7"/>
      <c r="C16" s="7"/>
      <c r="D16" s="7"/>
    </row>
    <row r="17" spans="1:6" ht="15" thickBot="1" x14ac:dyDescent="0.35">
      <c r="A17" s="7" t="s">
        <v>77</v>
      </c>
      <c r="B17" s="24">
        <v>850</v>
      </c>
      <c r="C17" s="47" t="s">
        <v>67</v>
      </c>
      <c r="D17" s="7"/>
    </row>
    <row r="18" spans="1:6" ht="15" thickBot="1" x14ac:dyDescent="0.35">
      <c r="A18" s="11" t="s">
        <v>78</v>
      </c>
      <c r="B18" s="24">
        <v>2450</v>
      </c>
      <c r="C18" s="47" t="s">
        <v>67</v>
      </c>
      <c r="D18" s="7"/>
    </row>
    <row r="19" spans="1:6" ht="18" customHeight="1" thickBot="1" x14ac:dyDescent="0.35">
      <c r="A19" s="11" t="s">
        <v>79</v>
      </c>
      <c r="B19" s="24">
        <v>930</v>
      </c>
      <c r="C19" s="47" t="s">
        <v>67</v>
      </c>
    </row>
    <row r="20" spans="1:6" ht="15" thickBot="1" x14ac:dyDescent="0.35">
      <c r="A20" s="4" t="s">
        <v>80</v>
      </c>
      <c r="B20" s="27">
        <v>0.04</v>
      </c>
      <c r="C20" s="47" t="s">
        <v>67</v>
      </c>
      <c r="D20" s="7"/>
      <c r="E20" s="16" t="s">
        <v>81</v>
      </c>
      <c r="F20" s="2">
        <v>1</v>
      </c>
    </row>
    <row r="21" spans="1:6" ht="16.5" x14ac:dyDescent="0.3">
      <c r="B21" s="7"/>
      <c r="C21" s="7"/>
      <c r="D21" s="16"/>
    </row>
    <row r="22" spans="1:6" ht="16.5" x14ac:dyDescent="0.3">
      <c r="A22" s="72" t="s">
        <v>82</v>
      </c>
      <c r="B22" s="72"/>
      <c r="C22" s="45"/>
      <c r="D22" s="17"/>
      <c r="E22" s="5"/>
      <c r="F22" s="18"/>
    </row>
    <row r="23" spans="1:6" ht="16.5" x14ac:dyDescent="0.3">
      <c r="A23" s="18" t="s">
        <v>83</v>
      </c>
      <c r="B23" s="23">
        <f>6000*25%</f>
        <v>1500</v>
      </c>
      <c r="C23" s="23"/>
      <c r="D23" s="17"/>
      <c r="E23" s="5"/>
      <c r="F23" s="18"/>
    </row>
    <row r="24" spans="1:6" ht="16.5" x14ac:dyDescent="0.3">
      <c r="A24" s="18" t="s">
        <v>84</v>
      </c>
      <c r="B24" s="23">
        <f>(150*500)*25%</f>
        <v>18750</v>
      </c>
      <c r="C24" s="23"/>
      <c r="D24" s="17"/>
      <c r="E24" s="5"/>
      <c r="F24" s="18"/>
    </row>
    <row r="25" spans="1:6" ht="16.5" x14ac:dyDescent="0.3">
      <c r="A25" s="18" t="s">
        <v>85</v>
      </c>
      <c r="B25" s="23">
        <f>(B13-B15)/B14</f>
        <v>14000</v>
      </c>
      <c r="C25" s="23"/>
      <c r="D25" s="17"/>
      <c r="E25" s="5"/>
      <c r="F25" s="18"/>
    </row>
    <row r="26" spans="1:6" ht="16.5" x14ac:dyDescent="0.3">
      <c r="A26" s="18" t="s">
        <v>86</v>
      </c>
      <c r="B26" s="13">
        <f>B5+(B6*E6)</f>
        <v>89000</v>
      </c>
      <c r="C26" s="13"/>
      <c r="D26" s="7"/>
      <c r="E26" s="19"/>
      <c r="F26" s="5"/>
    </row>
    <row r="27" spans="1:6" x14ac:dyDescent="0.3">
      <c r="A27" s="18" t="s">
        <v>87</v>
      </c>
      <c r="B27" s="13">
        <f>B11*((E9*B9*E13)+(B10*E10*48))</f>
        <v>82800</v>
      </c>
      <c r="C27" s="13"/>
      <c r="D27" s="7"/>
      <c r="E27" s="19"/>
      <c r="F27" s="5"/>
    </row>
    <row r="28" spans="1:6" x14ac:dyDescent="0.3">
      <c r="A28" s="18" t="s">
        <v>88</v>
      </c>
      <c r="B28" s="13">
        <f>(B17/20000)*E15</f>
        <v>5525</v>
      </c>
      <c r="C28" s="13"/>
      <c r="D28" s="7"/>
      <c r="E28" s="19"/>
      <c r="F28" s="5"/>
    </row>
    <row r="29" spans="1:6" x14ac:dyDescent="0.3">
      <c r="A29" s="18" t="s">
        <v>89</v>
      </c>
      <c r="B29" s="13">
        <f>IF(B27&gt;50000,B27*3.75%,B27*2%)</f>
        <v>3105</v>
      </c>
      <c r="C29" s="13"/>
      <c r="D29" s="7"/>
      <c r="E29" s="19"/>
      <c r="F29" s="5"/>
    </row>
    <row r="30" spans="1:6" x14ac:dyDescent="0.3">
      <c r="A30" s="18" t="s">
        <v>90</v>
      </c>
      <c r="B30" s="13">
        <f>B18*E13</f>
        <v>127400</v>
      </c>
      <c r="C30" s="13"/>
      <c r="E30" s="19"/>
      <c r="F30" s="5"/>
    </row>
    <row r="31" spans="1:6" x14ac:dyDescent="0.3">
      <c r="A31" s="18" t="s">
        <v>91</v>
      </c>
      <c r="B31" s="13">
        <f>B19*4</f>
        <v>3720</v>
      </c>
      <c r="C31" s="13"/>
      <c r="E31" s="19"/>
      <c r="F31" s="5"/>
    </row>
    <row r="32" spans="1:6" x14ac:dyDescent="0.3">
      <c r="A32" s="18" t="s">
        <v>92</v>
      </c>
      <c r="B32" s="13">
        <f>B20*E15</f>
        <v>5200</v>
      </c>
      <c r="C32" s="13"/>
      <c r="E32" s="19"/>
      <c r="F32" s="5"/>
    </row>
    <row r="33" spans="1:6" x14ac:dyDescent="0.3">
      <c r="A33" s="3" t="s">
        <v>93</v>
      </c>
      <c r="B33" s="20">
        <f>SUM(B23:B32)</f>
        <v>351000</v>
      </c>
      <c r="C33" s="13"/>
      <c r="D33" s="7"/>
      <c r="E33" s="5"/>
      <c r="F33" s="18"/>
    </row>
    <row r="34" spans="1:6" x14ac:dyDescent="0.3">
      <c r="B34" s="13"/>
      <c r="C34" s="13"/>
      <c r="D34" s="7"/>
      <c r="E34" s="5"/>
    </row>
    <row r="35" spans="1:6" x14ac:dyDescent="0.3">
      <c r="A35" s="3" t="s">
        <v>94</v>
      </c>
      <c r="B35" s="15">
        <f>B33/E15</f>
        <v>2.7</v>
      </c>
      <c r="C35" s="15"/>
      <c r="D35" s="7"/>
      <c r="E35" s="21"/>
      <c r="F35" s="5"/>
    </row>
    <row r="36" spans="1:6" x14ac:dyDescent="0.3">
      <c r="A36" s="18"/>
      <c r="B36" s="7"/>
      <c r="C36" s="7"/>
      <c r="D36" s="7"/>
    </row>
  </sheetData>
  <mergeCells count="1">
    <mergeCell ref="A22:B22"/>
  </mergeCells>
  <printOptions gridLines="1"/>
  <pageMargins left="0.7" right="0.7" top="0.75" bottom="0.75" header="0.3" footer="0.3"/>
  <pageSetup paperSize="9" scale="91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Formulas="1" zoomScaleNormal="100" workbookViewId="0"/>
  </sheetViews>
  <sheetFormatPr defaultColWidth="19.109375" defaultRowHeight="14.4" customHeight="1" x14ac:dyDescent="0.3"/>
  <cols>
    <col min="1" max="1" width="23.6640625" style="4" customWidth="1"/>
    <col min="2" max="2" width="18.6640625" style="51" customWidth="1"/>
    <col min="3" max="3" width="39.6640625" style="4" customWidth="1"/>
    <col min="4" max="4" width="11.88671875" style="51" customWidth="1"/>
    <col min="5" max="5" width="3.88671875" style="4" customWidth="1"/>
    <col min="6" max="6" width="14.6640625" style="4" bestFit="1" customWidth="1"/>
    <col min="7" max="16384" width="19.109375" style="4"/>
  </cols>
  <sheetData>
    <row r="1" spans="1:6" ht="14.4" customHeight="1" x14ac:dyDescent="0.3">
      <c r="A1" s="1" t="s">
        <v>95</v>
      </c>
      <c r="B1" s="74" t="s">
        <v>96</v>
      </c>
      <c r="C1" s="74"/>
      <c r="E1" s="2" t="s">
        <v>2</v>
      </c>
      <c r="F1" s="1" t="s">
        <v>97</v>
      </c>
    </row>
    <row r="2" spans="1:6" ht="14.4" customHeight="1" x14ac:dyDescent="0.3">
      <c r="A2" s="1" t="s">
        <v>58</v>
      </c>
      <c r="B2" s="19"/>
      <c r="E2" s="5"/>
      <c r="F2" s="4" t="s">
        <v>98</v>
      </c>
    </row>
    <row r="4" spans="1:6" ht="14.4" customHeight="1" x14ac:dyDescent="0.3">
      <c r="A4" s="1" t="s">
        <v>60</v>
      </c>
    </row>
    <row r="5" spans="1:6" ht="14.4" customHeight="1" x14ac:dyDescent="0.3">
      <c r="A5" s="4" t="s">
        <v>61</v>
      </c>
      <c r="B5" s="52">
        <v>35000</v>
      </c>
      <c r="C5" s="7"/>
      <c r="E5" s="18"/>
    </row>
    <row r="6" spans="1:6" ht="14.4" customHeight="1" x14ac:dyDescent="0.3">
      <c r="A6" s="4" t="s">
        <v>62</v>
      </c>
      <c r="B6" s="52">
        <v>27000</v>
      </c>
      <c r="C6" s="7" t="s">
        <v>63</v>
      </c>
      <c r="D6" s="51">
        <v>2</v>
      </c>
      <c r="E6" s="18"/>
    </row>
    <row r="7" spans="1:6" ht="14.4" customHeight="1" x14ac:dyDescent="0.3">
      <c r="B7" s="53"/>
      <c r="C7" s="7"/>
    </row>
    <row r="8" spans="1:6" ht="14.4" customHeight="1" x14ac:dyDescent="0.3">
      <c r="A8" s="1" t="s">
        <v>64</v>
      </c>
      <c r="B8" s="53"/>
      <c r="C8" s="7"/>
    </row>
    <row r="9" spans="1:6" ht="14.4" customHeight="1" thickBot="1" x14ac:dyDescent="0.35">
      <c r="A9" s="4" t="s">
        <v>65</v>
      </c>
      <c r="B9" s="52">
        <v>12</v>
      </c>
      <c r="C9" s="7" t="s">
        <v>66</v>
      </c>
      <c r="D9" s="51">
        <v>35</v>
      </c>
    </row>
    <row r="10" spans="1:6" ht="14.4" customHeight="1" thickBot="1" x14ac:dyDescent="0.35">
      <c r="A10" s="4" t="s">
        <v>99</v>
      </c>
      <c r="B10" s="54">
        <f>B9*2</f>
        <v>24</v>
      </c>
      <c r="C10" s="7" t="s">
        <v>69</v>
      </c>
      <c r="D10" s="51">
        <v>5</v>
      </c>
      <c r="E10" s="5"/>
    </row>
    <row r="11" spans="1:6" ht="14.4" customHeight="1" x14ac:dyDescent="0.3">
      <c r="A11" s="4" t="s">
        <v>70</v>
      </c>
      <c r="B11" s="53">
        <v>3</v>
      </c>
      <c r="C11" s="7"/>
    </row>
    <row r="12" spans="1:6" ht="14.4" customHeight="1" x14ac:dyDescent="0.3">
      <c r="B12" s="53"/>
      <c r="C12" s="7"/>
    </row>
    <row r="13" spans="1:6" ht="14.4" customHeight="1" x14ac:dyDescent="0.3">
      <c r="A13" s="4" t="s">
        <v>71</v>
      </c>
      <c r="B13" s="52">
        <v>150000</v>
      </c>
      <c r="C13" s="14" t="s">
        <v>72</v>
      </c>
      <c r="D13" s="51">
        <v>52</v>
      </c>
    </row>
    <row r="14" spans="1:6" ht="15" customHeight="1" thickBot="1" x14ac:dyDescent="0.35">
      <c r="A14" s="4" t="s">
        <v>73</v>
      </c>
      <c r="B14" s="53">
        <v>10</v>
      </c>
      <c r="C14" s="14" t="s">
        <v>74</v>
      </c>
      <c r="D14" s="53">
        <v>2500</v>
      </c>
      <c r="E14" s="5"/>
    </row>
    <row r="15" spans="1:6" ht="14.4" customHeight="1" thickBot="1" x14ac:dyDescent="0.35">
      <c r="A15" s="4" t="s">
        <v>75</v>
      </c>
      <c r="B15" s="52">
        <v>10000</v>
      </c>
      <c r="C15" s="14" t="s">
        <v>76</v>
      </c>
      <c r="D15" s="57">
        <f>D13*D14</f>
        <v>130000</v>
      </c>
    </row>
    <row r="16" spans="1:6" ht="14.4" customHeight="1" x14ac:dyDescent="0.3">
      <c r="B16" s="53"/>
      <c r="C16" s="7"/>
      <c r="D16" s="19" t="s">
        <v>100</v>
      </c>
      <c r="E16" s="28">
        <v>1</v>
      </c>
    </row>
    <row r="17" spans="1:5" ht="14.4" customHeight="1" x14ac:dyDescent="0.3">
      <c r="A17" s="7" t="s">
        <v>77</v>
      </c>
      <c r="B17" s="52">
        <v>850</v>
      </c>
      <c r="C17" s="7"/>
      <c r="D17" s="52"/>
    </row>
    <row r="18" spans="1:5" ht="14.4" customHeight="1" x14ac:dyDescent="0.3">
      <c r="A18" s="11" t="s">
        <v>78</v>
      </c>
      <c r="B18" s="52">
        <v>2450</v>
      </c>
      <c r="C18" s="7"/>
      <c r="D18" s="52"/>
    </row>
    <row r="19" spans="1:5" ht="14.4" customHeight="1" x14ac:dyDescent="0.3">
      <c r="A19" s="11" t="s">
        <v>79</v>
      </c>
      <c r="B19" s="52">
        <v>930</v>
      </c>
      <c r="C19" s="7"/>
      <c r="D19" s="52"/>
    </row>
    <row r="20" spans="1:5" ht="14.4" customHeight="1" x14ac:dyDescent="0.3">
      <c r="A20" s="4" t="s">
        <v>80</v>
      </c>
      <c r="B20" s="55">
        <v>0.04</v>
      </c>
      <c r="C20" s="7"/>
    </row>
    <row r="21" spans="1:5" ht="14.4" customHeight="1" x14ac:dyDescent="0.3">
      <c r="B21" s="53"/>
      <c r="C21" s="7"/>
      <c r="D21" s="19"/>
      <c r="E21" s="5"/>
    </row>
    <row r="22" spans="1:5" ht="14.4" customHeight="1" x14ac:dyDescent="0.3">
      <c r="A22" s="72" t="s">
        <v>82</v>
      </c>
      <c r="B22" s="72"/>
      <c r="C22" s="1" t="s">
        <v>4</v>
      </c>
      <c r="D22" s="19"/>
      <c r="E22" s="18"/>
    </row>
    <row r="23" spans="1:5" ht="14.4" customHeight="1" x14ac:dyDescent="0.3">
      <c r="A23" s="18" t="s">
        <v>83</v>
      </c>
      <c r="B23" s="52">
        <f>6000*25%</f>
        <v>1500</v>
      </c>
      <c r="C23" s="73" t="s">
        <v>101</v>
      </c>
      <c r="E23" s="22">
        <v>1</v>
      </c>
    </row>
    <row r="24" spans="1:5" ht="14.4" customHeight="1" x14ac:dyDescent="0.3">
      <c r="A24" s="18" t="s">
        <v>84</v>
      </c>
      <c r="B24" s="52">
        <f>(150*500)*25%</f>
        <v>18750</v>
      </c>
      <c r="C24" s="73"/>
      <c r="E24" s="22">
        <v>1</v>
      </c>
    </row>
    <row r="25" spans="1:5" ht="14.4" customHeight="1" x14ac:dyDescent="0.3">
      <c r="A25" s="18" t="s">
        <v>85</v>
      </c>
      <c r="B25" s="52">
        <f>(B13-B15)/B14</f>
        <v>14000</v>
      </c>
      <c r="C25" s="73"/>
      <c r="E25" s="22">
        <v>1</v>
      </c>
    </row>
    <row r="26" spans="1:5" ht="14.4" customHeight="1" x14ac:dyDescent="0.3">
      <c r="A26" s="18" t="s">
        <v>86</v>
      </c>
      <c r="B26" s="52">
        <f>B5+(B6*D6)</f>
        <v>89000</v>
      </c>
      <c r="C26" s="73"/>
      <c r="E26" s="22">
        <v>1</v>
      </c>
    </row>
    <row r="27" spans="1:5" ht="30" customHeight="1" x14ac:dyDescent="0.3">
      <c r="A27" s="18" t="s">
        <v>87</v>
      </c>
      <c r="B27" s="52">
        <f>(B11*B9*D9*D13)+(B11*B10*D10*48)</f>
        <v>82800</v>
      </c>
      <c r="C27" s="49" t="s">
        <v>102</v>
      </c>
      <c r="E27" s="22">
        <v>1</v>
      </c>
    </row>
    <row r="28" spans="1:5" ht="18" customHeight="1" x14ac:dyDescent="0.3">
      <c r="A28" s="18" t="s">
        <v>88</v>
      </c>
      <c r="B28" s="52">
        <f>D15/20000*B17</f>
        <v>5525</v>
      </c>
      <c r="C28" s="49"/>
      <c r="E28" s="22">
        <v>1</v>
      </c>
    </row>
    <row r="29" spans="1:5" ht="14.4" customHeight="1" x14ac:dyDescent="0.3">
      <c r="A29" s="18" t="s">
        <v>89</v>
      </c>
      <c r="B29" s="52">
        <f>IF(B27&gt;50000,B27*3.75%,B27*2%)</f>
        <v>3105</v>
      </c>
      <c r="C29" s="13">
        <f>IF(B27&lt;=50000,B27*2%,B27*3.75%)</f>
        <v>3105</v>
      </c>
      <c r="E29" s="22">
        <v>1</v>
      </c>
    </row>
    <row r="30" spans="1:5" ht="14.4" customHeight="1" x14ac:dyDescent="0.3">
      <c r="A30" s="18" t="s">
        <v>90</v>
      </c>
      <c r="B30" s="52">
        <f>B18*D13</f>
        <v>127400</v>
      </c>
      <c r="C30" s="19" t="s">
        <v>103</v>
      </c>
      <c r="E30" s="22">
        <v>1</v>
      </c>
    </row>
    <row r="31" spans="1:5" ht="14.4" customHeight="1" x14ac:dyDescent="0.3">
      <c r="A31" s="18" t="s">
        <v>91</v>
      </c>
      <c r="B31" s="52">
        <f>B19*4</f>
        <v>3720</v>
      </c>
      <c r="C31" s="19"/>
      <c r="E31" s="22">
        <v>1</v>
      </c>
    </row>
    <row r="32" spans="1:5" ht="14.4" customHeight="1" x14ac:dyDescent="0.3">
      <c r="A32" s="18" t="s">
        <v>92</v>
      </c>
      <c r="B32" s="52">
        <f>B20*D15</f>
        <v>5200</v>
      </c>
      <c r="C32" s="19"/>
      <c r="E32" s="22">
        <v>1</v>
      </c>
    </row>
    <row r="33" spans="1:5" ht="14.4" customHeight="1" x14ac:dyDescent="0.3">
      <c r="A33" s="3" t="s">
        <v>93</v>
      </c>
      <c r="B33" s="56">
        <f>SUM(B23:B32)</f>
        <v>351000</v>
      </c>
      <c r="C33" s="5"/>
      <c r="E33" s="22"/>
    </row>
    <row r="34" spans="1:5" ht="14.4" customHeight="1" x14ac:dyDescent="0.3">
      <c r="B34" s="52"/>
      <c r="C34" s="5"/>
      <c r="E34" s="22"/>
    </row>
    <row r="35" spans="1:5" ht="14.4" customHeight="1" x14ac:dyDescent="0.3">
      <c r="A35" s="3" t="s">
        <v>94</v>
      </c>
      <c r="B35" s="55">
        <f>B33/D15</f>
        <v>2.7</v>
      </c>
      <c r="C35" s="19"/>
      <c r="D35" s="58"/>
      <c r="E35" s="22">
        <v>1</v>
      </c>
    </row>
    <row r="36" spans="1:5" ht="14.4" customHeight="1" x14ac:dyDescent="0.3">
      <c r="B36" s="53"/>
      <c r="C36" s="7"/>
      <c r="E36" s="5"/>
    </row>
    <row r="38" spans="1:5" ht="14.4" customHeight="1" x14ac:dyDescent="0.3">
      <c r="E38" s="21"/>
    </row>
    <row r="40" spans="1:5" ht="14.4" customHeight="1" x14ac:dyDescent="0.3">
      <c r="E40" s="21"/>
    </row>
    <row r="41" spans="1:5" ht="14.4" customHeight="1" x14ac:dyDescent="0.3">
      <c r="E41" s="21"/>
    </row>
  </sheetData>
  <mergeCells count="4">
    <mergeCell ref="A22:B22"/>
    <mergeCell ref="C25:C26"/>
    <mergeCell ref="C23:C24"/>
    <mergeCell ref="B1:C1"/>
  </mergeCells>
  <phoneticPr fontId="6" type="noConversion"/>
  <printOptions headings="1" gridLines="1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1"/>
  <sheetViews>
    <sheetView zoomScaleNormal="100" workbookViewId="0"/>
  </sheetViews>
  <sheetFormatPr defaultColWidth="9.109375" defaultRowHeight="14.4" x14ac:dyDescent="0.3"/>
  <cols>
    <col min="1" max="1" width="7.33203125" style="4" customWidth="1"/>
    <col min="2" max="2" width="37.44140625" style="4" customWidth="1"/>
    <col min="3" max="3" width="17.88671875" style="4" customWidth="1"/>
    <col min="4" max="4" width="18.109375" style="4" customWidth="1"/>
    <col min="5" max="5" width="17.109375" style="4" customWidth="1"/>
    <col min="6" max="6" width="14" style="4" customWidth="1"/>
    <col min="7" max="7" width="12.5546875" style="4" customWidth="1"/>
    <col min="8" max="8" width="7.109375" style="4" customWidth="1"/>
    <col min="9" max="9" width="10.44140625" style="4" customWidth="1"/>
    <col min="10" max="10" width="24.33203125" style="4" customWidth="1"/>
    <col min="11" max="16384" width="9.109375" style="4"/>
  </cols>
  <sheetData>
    <row r="1" spans="1:10" s="1" customFormat="1" ht="16.5" x14ac:dyDescent="0.3">
      <c r="A1" s="1" t="s">
        <v>104</v>
      </c>
      <c r="H1" s="2" t="s">
        <v>2</v>
      </c>
      <c r="I1" s="3" t="s">
        <v>3</v>
      </c>
      <c r="J1" s="1" t="s">
        <v>105</v>
      </c>
    </row>
    <row r="2" spans="1:10" s="1" customFormat="1" ht="16.5" x14ac:dyDescent="0.3">
      <c r="H2" s="2"/>
      <c r="I2" s="1">
        <v>23</v>
      </c>
    </row>
    <row r="3" spans="1:10" ht="16.5" x14ac:dyDescent="0.3">
      <c r="A3" s="4" t="s">
        <v>106</v>
      </c>
      <c r="C3" s="1" t="s">
        <v>107</v>
      </c>
      <c r="D3" s="1" t="s">
        <v>108</v>
      </c>
      <c r="E3" s="1" t="s">
        <v>109</v>
      </c>
      <c r="I3" s="1">
        <v>2</v>
      </c>
    </row>
    <row r="4" spans="1:10" ht="16.5" x14ac:dyDescent="0.3">
      <c r="B4" s="4" t="s">
        <v>110</v>
      </c>
      <c r="C4" s="4">
        <v>4</v>
      </c>
      <c r="D4" s="4">
        <v>5</v>
      </c>
      <c r="E4" s="4">
        <v>6</v>
      </c>
      <c r="I4" s="1"/>
    </row>
    <row r="5" spans="1:10" ht="16.5" x14ac:dyDescent="0.3">
      <c r="B5" s="4" t="s">
        <v>111</v>
      </c>
      <c r="C5" s="7">
        <v>2000</v>
      </c>
      <c r="D5" s="4">
        <v>880</v>
      </c>
      <c r="E5" s="4">
        <v>600</v>
      </c>
    </row>
    <row r="6" spans="1:10" ht="16.5" x14ac:dyDescent="0.3">
      <c r="B6" s="4" t="s">
        <v>112</v>
      </c>
      <c r="C6" s="7">
        <f>C4*C5</f>
        <v>8000</v>
      </c>
      <c r="D6" s="7">
        <f>D4*D5</f>
        <v>4400</v>
      </c>
      <c r="E6" s="7">
        <f t="shared" ref="E6" si="0">E4*E5</f>
        <v>3600</v>
      </c>
      <c r="F6" s="7">
        <v>16000</v>
      </c>
      <c r="H6" s="2">
        <v>2</v>
      </c>
      <c r="J6" s="1" t="s">
        <v>113</v>
      </c>
    </row>
    <row r="8" spans="1:10" ht="16.5" x14ac:dyDescent="0.3">
      <c r="A8" s="4" t="s">
        <v>114</v>
      </c>
      <c r="B8" s="1"/>
      <c r="C8" s="29" t="s">
        <v>107</v>
      </c>
      <c r="D8" s="29" t="s">
        <v>108</v>
      </c>
      <c r="E8" s="1" t="s">
        <v>109</v>
      </c>
      <c r="F8" s="1"/>
      <c r="G8" s="1"/>
      <c r="H8" s="1"/>
      <c r="I8" s="1">
        <v>6</v>
      </c>
    </row>
    <row r="9" spans="1:10" ht="16.5" x14ac:dyDescent="0.3">
      <c r="B9" s="4" t="s">
        <v>115</v>
      </c>
      <c r="C9" s="30">
        <v>895</v>
      </c>
      <c r="D9" s="30">
        <v>1295</v>
      </c>
      <c r="E9" s="30">
        <v>1895</v>
      </c>
      <c r="H9" s="1"/>
      <c r="I9" s="1"/>
    </row>
    <row r="10" spans="1:10" ht="16.5" x14ac:dyDescent="0.3">
      <c r="B10" s="10" t="s">
        <v>116</v>
      </c>
      <c r="C10" s="13"/>
      <c r="D10" s="13"/>
      <c r="E10" s="13"/>
      <c r="H10" s="1"/>
      <c r="I10" s="1"/>
    </row>
    <row r="11" spans="1:10" ht="16.5" x14ac:dyDescent="0.3">
      <c r="B11" s="4" t="s">
        <v>117</v>
      </c>
      <c r="C11" s="30">
        <v>206</v>
      </c>
      <c r="D11" s="30">
        <v>528</v>
      </c>
      <c r="E11" s="30">
        <v>740</v>
      </c>
      <c r="H11" s="2">
        <v>1</v>
      </c>
      <c r="I11" s="2" t="s">
        <v>118</v>
      </c>
    </row>
    <row r="12" spans="1:10" ht="16.5" x14ac:dyDescent="0.3">
      <c r="B12" s="4" t="s">
        <v>119</v>
      </c>
      <c r="C12" s="30">
        <f>5*16</f>
        <v>80</v>
      </c>
      <c r="D12" s="30">
        <f>7*16</f>
        <v>112</v>
      </c>
      <c r="E12" s="30">
        <f>9*16</f>
        <v>144</v>
      </c>
      <c r="H12" s="2">
        <v>1</v>
      </c>
      <c r="I12" s="2" t="s">
        <v>118</v>
      </c>
    </row>
    <row r="13" spans="1:10" ht="16.5" x14ac:dyDescent="0.3">
      <c r="B13" s="4" t="s">
        <v>120</v>
      </c>
      <c r="C13" s="31">
        <f>5*5</f>
        <v>25</v>
      </c>
      <c r="D13" s="31">
        <f>7*5</f>
        <v>35</v>
      </c>
      <c r="E13" s="31">
        <f>9*5</f>
        <v>45</v>
      </c>
      <c r="H13" s="2">
        <v>1</v>
      </c>
      <c r="I13" s="2" t="s">
        <v>118</v>
      </c>
    </row>
    <row r="14" spans="1:10" ht="16.5" x14ac:dyDescent="0.3">
      <c r="B14" s="4" t="s">
        <v>121</v>
      </c>
      <c r="C14" s="32">
        <f>SUM(C11:C13)</f>
        <v>311</v>
      </c>
      <c r="D14" s="32">
        <f t="shared" ref="D14:E14" si="1">SUM(D11:D13)</f>
        <v>675</v>
      </c>
      <c r="E14" s="32">
        <f t="shared" si="1"/>
        <v>929</v>
      </c>
      <c r="H14" s="2"/>
      <c r="I14" s="2"/>
    </row>
    <row r="15" spans="1:10" ht="16.5" x14ac:dyDescent="0.3">
      <c r="C15" s="32"/>
      <c r="D15" s="32"/>
      <c r="E15" s="32"/>
      <c r="H15" s="2"/>
      <c r="I15" s="2"/>
    </row>
    <row r="16" spans="1:10" ht="16.5" x14ac:dyDescent="0.3">
      <c r="B16" s="4" t="s">
        <v>122</v>
      </c>
      <c r="C16" s="30">
        <f>C9-C14</f>
        <v>584</v>
      </c>
      <c r="D16" s="30">
        <f t="shared" ref="D16:E16" si="2">D9-D14</f>
        <v>620</v>
      </c>
      <c r="E16" s="30">
        <f t="shared" si="2"/>
        <v>966</v>
      </c>
      <c r="H16" s="2">
        <v>3</v>
      </c>
      <c r="I16" s="2" t="s">
        <v>118</v>
      </c>
      <c r="J16" s="4" t="s">
        <v>123</v>
      </c>
    </row>
    <row r="17" spans="1:10" ht="16.5" x14ac:dyDescent="0.3">
      <c r="C17" s="33"/>
      <c r="D17" s="33"/>
      <c r="E17" s="34"/>
      <c r="H17" s="2"/>
      <c r="I17" s="2"/>
    </row>
    <row r="18" spans="1:10" ht="16.5" x14ac:dyDescent="0.3">
      <c r="A18" s="4" t="s">
        <v>124</v>
      </c>
      <c r="B18" s="4" t="s">
        <v>125</v>
      </c>
      <c r="C18" s="7">
        <v>2000</v>
      </c>
      <c r="D18" s="7">
        <v>880</v>
      </c>
      <c r="E18" s="4">
        <v>600</v>
      </c>
      <c r="H18" s="2"/>
      <c r="I18" s="3">
        <v>2</v>
      </c>
    </row>
    <row r="19" spans="1:10" ht="16.5" x14ac:dyDescent="0.3">
      <c r="C19" s="7"/>
      <c r="D19" s="7"/>
      <c r="H19" s="1"/>
      <c r="I19" s="2"/>
    </row>
    <row r="20" spans="1:10" ht="16.5" x14ac:dyDescent="0.3">
      <c r="B20" s="4" t="s">
        <v>126</v>
      </c>
      <c r="C20" s="30">
        <f>C18*C16</f>
        <v>1168000</v>
      </c>
      <c r="D20" s="30">
        <f t="shared" ref="D20:E20" si="3">D18*D16</f>
        <v>545600</v>
      </c>
      <c r="E20" s="30">
        <f t="shared" si="3"/>
        <v>579600</v>
      </c>
      <c r="F20" s="30">
        <f>SUM(C20:E20)</f>
        <v>2293200</v>
      </c>
      <c r="H20" s="2">
        <v>1</v>
      </c>
      <c r="I20" s="2"/>
    </row>
    <row r="21" spans="1:10" ht="16.5" x14ac:dyDescent="0.3">
      <c r="B21" s="4" t="s">
        <v>127</v>
      </c>
      <c r="C21" s="30"/>
      <c r="D21" s="30"/>
      <c r="E21" s="30"/>
      <c r="F21" s="31">
        <v>500000</v>
      </c>
      <c r="H21" s="1"/>
      <c r="I21" s="46"/>
    </row>
    <row r="22" spans="1:10" ht="16.5" customHeight="1" x14ac:dyDescent="0.3">
      <c r="B22" s="1" t="s">
        <v>128</v>
      </c>
      <c r="C22" s="30"/>
      <c r="D22" s="30"/>
      <c r="E22" s="30"/>
      <c r="F22" s="35">
        <f>F20-F21</f>
        <v>1793200</v>
      </c>
      <c r="H22" s="2">
        <v>1</v>
      </c>
      <c r="I22" s="46"/>
    </row>
    <row r="23" spans="1:10" ht="16.5" x14ac:dyDescent="0.3">
      <c r="C23" s="7"/>
      <c r="D23" s="7"/>
      <c r="H23" s="1"/>
      <c r="I23" s="1"/>
    </row>
    <row r="24" spans="1:10" ht="16.5" x14ac:dyDescent="0.3">
      <c r="C24" s="7"/>
      <c r="D24" s="7"/>
      <c r="H24" s="2"/>
      <c r="I24" s="3"/>
      <c r="J24" s="1"/>
    </row>
    <row r="25" spans="1:10" ht="16.5" x14ac:dyDescent="0.3">
      <c r="A25" s="4" t="s">
        <v>129</v>
      </c>
      <c r="B25" s="4" t="s">
        <v>130</v>
      </c>
      <c r="C25" s="7" t="s">
        <v>131</v>
      </c>
      <c r="F25" s="29">
        <f>F6/80*100</f>
        <v>20000</v>
      </c>
      <c r="G25" s="5"/>
      <c r="H25" s="2">
        <v>1</v>
      </c>
      <c r="I25" s="1">
        <v>1</v>
      </c>
      <c r="J25" s="11" t="s">
        <v>132</v>
      </c>
    </row>
    <row r="26" spans="1:10" ht="16.5" x14ac:dyDescent="0.3">
      <c r="I26" s="1"/>
      <c r="J26" s="11"/>
    </row>
    <row r="27" spans="1:10" x14ac:dyDescent="0.3">
      <c r="A27" s="4" t="s">
        <v>133</v>
      </c>
      <c r="C27" s="1" t="s">
        <v>107</v>
      </c>
      <c r="D27" s="1" t="s">
        <v>108</v>
      </c>
      <c r="E27" s="1" t="s">
        <v>109</v>
      </c>
      <c r="I27" s="1">
        <v>4</v>
      </c>
    </row>
    <row r="28" spans="1:10" x14ac:dyDescent="0.3">
      <c r="B28" s="4" t="s">
        <v>122</v>
      </c>
      <c r="C28" s="13">
        <f>C16</f>
        <v>584</v>
      </c>
      <c r="D28" s="13">
        <f t="shared" ref="D28:E28" si="4">D16</f>
        <v>620</v>
      </c>
      <c r="E28" s="13">
        <f t="shared" si="4"/>
        <v>966</v>
      </c>
      <c r="H28" s="2"/>
      <c r="I28" s="2"/>
    </row>
    <row r="29" spans="1:10" x14ac:dyDescent="0.3">
      <c r="B29" s="4" t="s">
        <v>112</v>
      </c>
      <c r="C29" s="7">
        <v>4</v>
      </c>
      <c r="D29" s="7">
        <v>5</v>
      </c>
      <c r="E29" s="36">
        <v>6</v>
      </c>
      <c r="H29" s="2"/>
      <c r="I29" s="2"/>
    </row>
    <row r="30" spans="1:10" x14ac:dyDescent="0.3">
      <c r="B30" s="4" t="s">
        <v>134</v>
      </c>
      <c r="C30" s="13">
        <f>C28/C29</f>
        <v>146</v>
      </c>
      <c r="D30" s="13">
        <f t="shared" ref="D30:E30" si="5">D28/D29</f>
        <v>124</v>
      </c>
      <c r="E30" s="13">
        <f t="shared" si="5"/>
        <v>161</v>
      </c>
      <c r="H30" s="2">
        <v>3</v>
      </c>
      <c r="I30" s="2" t="s">
        <v>118</v>
      </c>
      <c r="J30" s="4" t="s">
        <v>135</v>
      </c>
    </row>
    <row r="31" spans="1:10" x14ac:dyDescent="0.3">
      <c r="B31" s="4" t="s">
        <v>136</v>
      </c>
      <c r="C31" s="7">
        <v>2</v>
      </c>
      <c r="D31" s="7">
        <v>3</v>
      </c>
      <c r="E31" s="4">
        <v>1</v>
      </c>
      <c r="H31" s="2">
        <v>1</v>
      </c>
      <c r="I31" s="2"/>
    </row>
    <row r="32" spans="1:10" x14ac:dyDescent="0.3">
      <c r="B32" s="4" t="s">
        <v>137</v>
      </c>
      <c r="C32" s="7">
        <v>2500</v>
      </c>
      <c r="D32" s="7">
        <v>1500</v>
      </c>
      <c r="E32" s="7">
        <v>1200</v>
      </c>
      <c r="H32" s="2"/>
      <c r="I32" s="2"/>
    </row>
    <row r="33" spans="1:10" x14ac:dyDescent="0.3">
      <c r="C33" s="7"/>
      <c r="D33" s="7"/>
      <c r="E33" s="7"/>
      <c r="H33" s="2"/>
      <c r="I33" s="2"/>
    </row>
    <row r="34" spans="1:10" ht="16.5" customHeight="1" x14ac:dyDescent="0.3">
      <c r="A34" s="4" t="s">
        <v>138</v>
      </c>
      <c r="C34" s="7" t="s">
        <v>139</v>
      </c>
      <c r="D34" s="7" t="s">
        <v>140</v>
      </c>
      <c r="E34" s="7" t="s">
        <v>141</v>
      </c>
      <c r="F34" s="7" t="s">
        <v>142</v>
      </c>
      <c r="H34" s="2"/>
      <c r="I34" s="3">
        <v>2</v>
      </c>
      <c r="J34" s="71" t="s">
        <v>143</v>
      </c>
    </row>
    <row r="35" spans="1:10" ht="17.399999999999999" customHeight="1" x14ac:dyDescent="0.3">
      <c r="B35" s="4" t="s">
        <v>144</v>
      </c>
      <c r="C35" s="7"/>
      <c r="D35" s="7"/>
      <c r="E35" s="7"/>
      <c r="F35" s="7">
        <f>F25</f>
        <v>20000</v>
      </c>
      <c r="H35" s="2"/>
      <c r="I35" s="2"/>
      <c r="J35" s="71"/>
    </row>
    <row r="36" spans="1:10" ht="14.4" customHeight="1" x14ac:dyDescent="0.3">
      <c r="B36" s="4" t="s">
        <v>145</v>
      </c>
      <c r="C36" s="29">
        <v>1200</v>
      </c>
      <c r="D36" s="7">
        <v>6</v>
      </c>
      <c r="E36" s="4">
        <f>E32*E29</f>
        <v>7200</v>
      </c>
      <c r="F36" s="7">
        <f>F35-E36</f>
        <v>12800</v>
      </c>
      <c r="H36" s="42" t="s">
        <v>67</v>
      </c>
      <c r="J36" s="71"/>
    </row>
    <row r="37" spans="1:10" x14ac:dyDescent="0.3">
      <c r="B37" s="4" t="s">
        <v>146</v>
      </c>
      <c r="C37" s="29">
        <v>2500</v>
      </c>
      <c r="D37" s="7">
        <v>4</v>
      </c>
      <c r="E37" s="4">
        <f>C37*D37</f>
        <v>10000</v>
      </c>
      <c r="F37" s="7">
        <f>F36-E37</f>
        <v>2800</v>
      </c>
      <c r="H37" s="2">
        <v>1</v>
      </c>
      <c r="I37" s="2"/>
      <c r="J37" s="71"/>
    </row>
    <row r="38" spans="1:10" x14ac:dyDescent="0.3">
      <c r="B38" s="4" t="s">
        <v>147</v>
      </c>
      <c r="C38" s="29">
        <f>F37/5</f>
        <v>560</v>
      </c>
      <c r="D38" s="7"/>
      <c r="H38" s="2">
        <v>1</v>
      </c>
      <c r="J38" s="71"/>
    </row>
    <row r="39" spans="1:10" x14ac:dyDescent="0.3">
      <c r="C39" s="7"/>
      <c r="D39" s="7"/>
      <c r="H39" s="2"/>
      <c r="I39" s="3"/>
      <c r="J39" s="71"/>
    </row>
    <row r="40" spans="1:10" x14ac:dyDescent="0.3">
      <c r="A40" s="4" t="s">
        <v>148</v>
      </c>
      <c r="C40" s="29" t="s">
        <v>107</v>
      </c>
      <c r="D40" s="29" t="s">
        <v>108</v>
      </c>
      <c r="E40" s="1" t="s">
        <v>109</v>
      </c>
      <c r="I40" s="1">
        <v>2</v>
      </c>
      <c r="J40" s="48"/>
    </row>
    <row r="41" spans="1:10" ht="24.9" customHeight="1" x14ac:dyDescent="0.3">
      <c r="B41" s="4" t="s">
        <v>126</v>
      </c>
      <c r="C41" s="13">
        <f>C37*C28</f>
        <v>1460000</v>
      </c>
      <c r="D41" s="13">
        <f>C38*D28</f>
        <v>347200</v>
      </c>
      <c r="E41" s="13">
        <f>C36*E28</f>
        <v>1159200</v>
      </c>
      <c r="F41" s="13">
        <f>SUM(C41:E41)</f>
        <v>2966400</v>
      </c>
      <c r="H41" s="2">
        <v>1</v>
      </c>
      <c r="I41" s="43"/>
      <c r="J41" s="48"/>
    </row>
    <row r="42" spans="1:10" ht="26.1" customHeight="1" x14ac:dyDescent="0.3">
      <c r="B42" s="4" t="s">
        <v>127</v>
      </c>
      <c r="C42" s="13"/>
      <c r="D42" s="13"/>
      <c r="E42" s="13"/>
      <c r="F42" s="37">
        <f>F21+15000</f>
        <v>515000</v>
      </c>
      <c r="H42" s="2"/>
      <c r="I42" s="75"/>
      <c r="J42" s="48"/>
    </row>
    <row r="43" spans="1:10" ht="21.6" customHeight="1" x14ac:dyDescent="0.3">
      <c r="B43" s="1" t="s">
        <v>149</v>
      </c>
      <c r="C43" s="13"/>
      <c r="D43" s="13"/>
      <c r="E43" s="13"/>
      <c r="F43" s="38">
        <f>F41-F42</f>
        <v>2451400</v>
      </c>
      <c r="H43" s="2">
        <v>1</v>
      </c>
      <c r="I43" s="75"/>
      <c r="J43" s="48"/>
    </row>
    <row r="44" spans="1:10" x14ac:dyDescent="0.3">
      <c r="C44" s="7"/>
      <c r="D44" s="7"/>
      <c r="H44" s="1"/>
      <c r="I44" s="1"/>
    </row>
    <row r="45" spans="1:10" x14ac:dyDescent="0.3">
      <c r="C45" s="7"/>
      <c r="D45" s="7"/>
      <c r="H45" s="2"/>
      <c r="I45" s="1"/>
    </row>
    <row r="46" spans="1:10" x14ac:dyDescent="0.3">
      <c r="C46" s="7"/>
      <c r="D46" s="7"/>
      <c r="H46" s="1"/>
      <c r="I46" s="1"/>
    </row>
    <row r="47" spans="1:10" x14ac:dyDescent="0.3">
      <c r="A47" s="4" t="s">
        <v>150</v>
      </c>
      <c r="C47" s="1" t="s">
        <v>107</v>
      </c>
      <c r="D47" s="1" t="s">
        <v>108</v>
      </c>
      <c r="E47" s="1" t="s">
        <v>109</v>
      </c>
      <c r="F47" s="1" t="s">
        <v>151</v>
      </c>
      <c r="H47" s="2"/>
      <c r="I47" s="3"/>
    </row>
    <row r="48" spans="1:10" x14ac:dyDescent="0.3">
      <c r="B48" s="4" t="s">
        <v>152</v>
      </c>
      <c r="C48" s="39"/>
      <c r="D48" s="39"/>
      <c r="E48" s="39"/>
      <c r="F48" s="13">
        <f>E9-150</f>
        <v>1745</v>
      </c>
      <c r="I48" s="1">
        <v>4</v>
      </c>
    </row>
    <row r="49" spans="2:11" ht="15" thickBot="1" x14ac:dyDescent="0.35">
      <c r="B49" s="4" t="s">
        <v>153</v>
      </c>
      <c r="C49" s="40"/>
      <c r="D49" s="40"/>
      <c r="E49" s="40"/>
      <c r="F49" s="13">
        <f>E14</f>
        <v>929</v>
      </c>
      <c r="H49" s="1"/>
      <c r="I49" s="1"/>
    </row>
    <row r="50" spans="2:11" ht="15" thickBot="1" x14ac:dyDescent="0.35">
      <c r="B50" s="4" t="s">
        <v>122</v>
      </c>
      <c r="C50" s="13">
        <f>C28</f>
        <v>584</v>
      </c>
      <c r="D50" s="13">
        <f t="shared" ref="D50:E50" si="6">D28</f>
        <v>620</v>
      </c>
      <c r="E50" s="13">
        <f t="shared" si="6"/>
        <v>966</v>
      </c>
      <c r="F50" s="24">
        <f t="shared" ref="F50" si="7">F48-F49</f>
        <v>816</v>
      </c>
      <c r="H50" s="2">
        <v>1</v>
      </c>
      <c r="I50" s="2"/>
    </row>
    <row r="51" spans="2:11" x14ac:dyDescent="0.3">
      <c r="C51" s="41"/>
      <c r="D51" s="41"/>
      <c r="E51" s="41"/>
      <c r="F51" s="41"/>
      <c r="H51" s="2"/>
      <c r="I51" s="1"/>
    </row>
    <row r="52" spans="2:11" x14ac:dyDescent="0.3">
      <c r="B52" s="4" t="s">
        <v>112</v>
      </c>
      <c r="C52" s="36">
        <v>4</v>
      </c>
      <c r="D52" s="36">
        <v>5</v>
      </c>
      <c r="E52" s="36">
        <v>6</v>
      </c>
      <c r="F52" s="36">
        <v>6</v>
      </c>
      <c r="H52" s="2"/>
      <c r="I52" s="1"/>
    </row>
    <row r="53" spans="2:11" ht="15" thickBot="1" x14ac:dyDescent="0.35">
      <c r="C53" s="36"/>
      <c r="D53" s="36"/>
      <c r="E53" s="36"/>
      <c r="F53" s="36"/>
      <c r="H53" s="2"/>
      <c r="I53" s="1"/>
    </row>
    <row r="54" spans="2:11" ht="15" customHeight="1" thickBot="1" x14ac:dyDescent="0.35">
      <c r="B54" s="4" t="s">
        <v>134</v>
      </c>
      <c r="C54" s="13">
        <f>C50/C52</f>
        <v>146</v>
      </c>
      <c r="D54" s="13">
        <f t="shared" ref="D54:F54" si="8">D50/D52</f>
        <v>124</v>
      </c>
      <c r="E54" s="13">
        <f t="shared" si="8"/>
        <v>161</v>
      </c>
      <c r="F54" s="24">
        <f t="shared" si="8"/>
        <v>136</v>
      </c>
      <c r="H54" s="22">
        <v>1</v>
      </c>
      <c r="J54" s="70" t="s">
        <v>154</v>
      </c>
      <c r="K54" s="70"/>
    </row>
    <row r="55" spans="2:11" x14ac:dyDescent="0.3">
      <c r="C55" s="41"/>
      <c r="D55" s="41"/>
      <c r="E55" s="41"/>
      <c r="F55" s="41"/>
      <c r="H55" s="2"/>
      <c r="I55" s="44"/>
      <c r="J55" s="70"/>
      <c r="K55" s="70"/>
    </row>
    <row r="56" spans="2:11" x14ac:dyDescent="0.3">
      <c r="B56" s="4" t="s">
        <v>136</v>
      </c>
      <c r="C56" s="36">
        <v>2</v>
      </c>
      <c r="D56" s="36">
        <v>4</v>
      </c>
      <c r="E56" s="36">
        <v>1</v>
      </c>
      <c r="F56" s="36">
        <v>3</v>
      </c>
      <c r="H56" s="2"/>
      <c r="I56" s="44"/>
      <c r="J56" s="70"/>
      <c r="K56" s="70"/>
    </row>
    <row r="57" spans="2:11" x14ac:dyDescent="0.3">
      <c r="C57" s="36"/>
      <c r="D57" s="36"/>
      <c r="E57" s="36"/>
      <c r="F57" s="36"/>
      <c r="H57" s="2"/>
      <c r="I57" s="44"/>
      <c r="J57" s="70"/>
      <c r="K57" s="70"/>
    </row>
    <row r="58" spans="2:11" x14ac:dyDescent="0.3">
      <c r="C58" s="36"/>
      <c r="D58" s="36"/>
      <c r="E58" s="36"/>
      <c r="F58" s="36"/>
      <c r="H58" s="2"/>
      <c r="I58" s="44"/>
      <c r="J58" s="70"/>
      <c r="K58" s="70"/>
    </row>
    <row r="59" spans="2:11" x14ac:dyDescent="0.3">
      <c r="C59" s="36"/>
      <c r="D59" s="36"/>
      <c r="E59" s="36"/>
      <c r="F59" s="36"/>
      <c r="H59" s="2"/>
      <c r="I59" s="44"/>
      <c r="J59" s="44"/>
    </row>
    <row r="60" spans="2:11" s="59" customFormat="1" ht="15" customHeight="1" x14ac:dyDescent="0.3">
      <c r="B60" s="62" t="s">
        <v>155</v>
      </c>
      <c r="C60" s="60"/>
      <c r="D60" s="60"/>
      <c r="E60" s="60"/>
      <c r="F60" s="60"/>
      <c r="H60" s="61">
        <v>1</v>
      </c>
      <c r="I60" s="48"/>
      <c r="J60" s="71" t="s">
        <v>156</v>
      </c>
      <c r="K60" s="71"/>
    </row>
    <row r="61" spans="2:11" ht="18.75" customHeight="1" x14ac:dyDescent="0.3">
      <c r="C61" s="13"/>
      <c r="D61" s="13"/>
      <c r="E61" s="13"/>
      <c r="F61" s="13"/>
      <c r="H61" s="2"/>
      <c r="I61" s="44"/>
      <c r="J61" s="71"/>
      <c r="K61" s="71"/>
    </row>
    <row r="62" spans="2:11" ht="14.4" customHeight="1" x14ac:dyDescent="0.3">
      <c r="B62" s="63" t="s">
        <v>157</v>
      </c>
      <c r="C62" s="13"/>
      <c r="D62" s="13"/>
      <c r="E62" s="13"/>
      <c r="F62" s="13"/>
      <c r="H62" s="2">
        <v>1</v>
      </c>
      <c r="I62" s="3"/>
      <c r="J62" s="71"/>
      <c r="K62" s="71"/>
    </row>
    <row r="63" spans="2:11" ht="14.4" customHeight="1" x14ac:dyDescent="0.3">
      <c r="B63" s="63" t="s">
        <v>158</v>
      </c>
      <c r="I63" s="3"/>
      <c r="J63" s="71"/>
      <c r="K63" s="71"/>
    </row>
    <row r="65" spans="2:10" x14ac:dyDescent="0.3">
      <c r="B65" s="1" t="s">
        <v>159</v>
      </c>
    </row>
    <row r="66" spans="2:10" x14ac:dyDescent="0.3">
      <c r="B66" s="4" t="s">
        <v>160</v>
      </c>
    </row>
    <row r="67" spans="2:10" x14ac:dyDescent="0.3">
      <c r="B67" s="4" t="s">
        <v>161</v>
      </c>
      <c r="C67" s="4" t="s">
        <v>162</v>
      </c>
      <c r="G67" s="13">
        <f>350*816</f>
        <v>285600</v>
      </c>
    </row>
    <row r="68" spans="2:10" x14ac:dyDescent="0.3">
      <c r="B68" s="4" t="s">
        <v>163</v>
      </c>
      <c r="G68" s="13"/>
    </row>
    <row r="69" spans="2:10" ht="14.4" customHeight="1" x14ac:dyDescent="0.3">
      <c r="B69" s="4" t="s">
        <v>164</v>
      </c>
      <c r="C69" s="70" t="s">
        <v>165</v>
      </c>
      <c r="D69" s="70"/>
      <c r="E69" s="70"/>
      <c r="F69" s="70"/>
      <c r="G69" s="13"/>
    </row>
    <row r="70" spans="2:10" x14ac:dyDescent="0.3">
      <c r="C70" s="11" t="s">
        <v>166</v>
      </c>
      <c r="D70" s="11"/>
      <c r="E70" s="11"/>
      <c r="G70" s="13"/>
    </row>
    <row r="71" spans="2:10" x14ac:dyDescent="0.3">
      <c r="B71" s="4" t="s">
        <v>167</v>
      </c>
      <c r="C71" s="11"/>
      <c r="D71" s="11"/>
      <c r="E71" s="11"/>
      <c r="G71" s="64">
        <v>5000</v>
      </c>
    </row>
    <row r="72" spans="2:10" x14ac:dyDescent="0.3">
      <c r="G72" s="13">
        <f>G67-G71</f>
        <v>280600</v>
      </c>
    </row>
    <row r="73" spans="2:10" x14ac:dyDescent="0.3">
      <c r="B73" s="4" t="s">
        <v>168</v>
      </c>
      <c r="G73" s="13"/>
    </row>
    <row r="74" spans="2:10" x14ac:dyDescent="0.3">
      <c r="B74" s="4" t="s">
        <v>161</v>
      </c>
      <c r="C74" s="70" t="s">
        <v>169</v>
      </c>
      <c r="D74" s="70"/>
      <c r="E74" s="70"/>
      <c r="G74" s="13">
        <f>420*620</f>
        <v>260400</v>
      </c>
      <c r="H74" s="2">
        <v>1</v>
      </c>
    </row>
    <row r="75" spans="2:10" x14ac:dyDescent="0.3">
      <c r="C75" s="70"/>
      <c r="D75" s="70"/>
      <c r="E75" s="70"/>
      <c r="G75" s="13"/>
      <c r="J75" s="2"/>
    </row>
    <row r="76" spans="2:10" x14ac:dyDescent="0.3">
      <c r="B76" s="4" t="s">
        <v>163</v>
      </c>
      <c r="G76" s="13"/>
    </row>
    <row r="77" spans="2:10" x14ac:dyDescent="0.3">
      <c r="B77" s="4" t="s">
        <v>164</v>
      </c>
      <c r="C77" s="4" t="s">
        <v>170</v>
      </c>
      <c r="G77" s="13"/>
    </row>
    <row r="78" spans="2:10" x14ac:dyDescent="0.3">
      <c r="G78" s="13"/>
    </row>
    <row r="79" spans="2:10" x14ac:dyDescent="0.3">
      <c r="B79" s="4" t="s">
        <v>171</v>
      </c>
      <c r="G79" s="65">
        <f>G72-G74</f>
        <v>20200</v>
      </c>
    </row>
    <row r="82" spans="2:11" x14ac:dyDescent="0.3">
      <c r="B82" s="1" t="s">
        <v>172</v>
      </c>
    </row>
    <row r="83" spans="2:11" x14ac:dyDescent="0.3">
      <c r="C83" s="1" t="s">
        <v>107</v>
      </c>
      <c r="D83" s="1" t="s">
        <v>108</v>
      </c>
      <c r="E83" s="1" t="s">
        <v>109</v>
      </c>
      <c r="F83" s="1" t="s">
        <v>151</v>
      </c>
      <c r="G83" s="1" t="s">
        <v>173</v>
      </c>
    </row>
    <row r="84" spans="2:11" x14ac:dyDescent="0.3">
      <c r="B84" s="4" t="s">
        <v>152</v>
      </c>
      <c r="C84" s="39"/>
      <c r="D84" s="39"/>
      <c r="E84" s="39"/>
      <c r="F84" s="13">
        <v>1745</v>
      </c>
    </row>
    <row r="85" spans="2:11" x14ac:dyDescent="0.3">
      <c r="B85" s="4" t="s">
        <v>153</v>
      </c>
      <c r="C85" s="40"/>
      <c r="D85" s="40"/>
      <c r="E85" s="40"/>
      <c r="F85" s="13">
        <v>929</v>
      </c>
    </row>
    <row r="86" spans="2:11" x14ac:dyDescent="0.3">
      <c r="B86" s="4" t="s">
        <v>122</v>
      </c>
      <c r="C86" s="13">
        <f>C50</f>
        <v>584</v>
      </c>
      <c r="D86" s="13">
        <f t="shared" ref="D86:E86" si="9">D50</f>
        <v>620</v>
      </c>
      <c r="E86" s="13">
        <f t="shared" si="9"/>
        <v>966</v>
      </c>
      <c r="F86" s="24">
        <f t="shared" ref="F86" si="10">F84-F85</f>
        <v>816</v>
      </c>
      <c r="H86" s="2">
        <v>1</v>
      </c>
    </row>
    <row r="87" spans="2:11" x14ac:dyDescent="0.3">
      <c r="C87" s="41"/>
      <c r="D87" s="41"/>
      <c r="E87" s="41"/>
      <c r="F87" s="41"/>
      <c r="H87" s="2"/>
    </row>
    <row r="88" spans="2:11" x14ac:dyDescent="0.3">
      <c r="B88" s="4" t="s">
        <v>112</v>
      </c>
      <c r="C88" s="36">
        <v>4</v>
      </c>
      <c r="D88" s="36">
        <v>5</v>
      </c>
      <c r="E88" s="36">
        <v>6</v>
      </c>
      <c r="F88" s="36">
        <v>6</v>
      </c>
      <c r="H88" s="2"/>
    </row>
    <row r="89" spans="2:11" x14ac:dyDescent="0.3">
      <c r="C89" s="36"/>
      <c r="D89" s="36"/>
      <c r="E89" s="36"/>
      <c r="F89" s="36"/>
      <c r="H89" s="2"/>
    </row>
    <row r="90" spans="2:11" x14ac:dyDescent="0.3">
      <c r="B90" s="4" t="s">
        <v>134</v>
      </c>
      <c r="C90" s="13">
        <f>C86/C88</f>
        <v>146</v>
      </c>
      <c r="D90" s="13">
        <f t="shared" ref="D90:E90" si="11">D86/D88</f>
        <v>124</v>
      </c>
      <c r="E90" s="13">
        <f t="shared" si="11"/>
        <v>161</v>
      </c>
      <c r="F90" s="24">
        <f t="shared" ref="F90" si="12">F86/F88</f>
        <v>136</v>
      </c>
      <c r="H90" s="2">
        <v>1</v>
      </c>
    </row>
    <row r="91" spans="2:11" x14ac:dyDescent="0.3">
      <c r="C91" s="41"/>
      <c r="D91" s="41"/>
      <c r="E91" s="41"/>
      <c r="F91" s="41"/>
    </row>
    <row r="92" spans="2:11" x14ac:dyDescent="0.3">
      <c r="B92" s="4" t="s">
        <v>136</v>
      </c>
      <c r="C92" s="36">
        <v>2</v>
      </c>
      <c r="D92" s="36">
        <v>4</v>
      </c>
      <c r="E92" s="36">
        <v>1</v>
      </c>
      <c r="F92" s="36">
        <v>3</v>
      </c>
    </row>
    <row r="94" spans="2:11" ht="16.5" customHeight="1" x14ac:dyDescent="0.3">
      <c r="B94" s="4" t="s">
        <v>174</v>
      </c>
      <c r="C94" s="7">
        <f>C32*C88</f>
        <v>10000</v>
      </c>
      <c r="D94" s="7">
        <f>20000-C94-E94-F94</f>
        <v>700</v>
      </c>
      <c r="E94" s="7">
        <f>E32*E52</f>
        <v>7200</v>
      </c>
      <c r="F94" s="7">
        <f>350*F88</f>
        <v>2100</v>
      </c>
      <c r="G94" s="7">
        <f>SUM(C94:F94)</f>
        <v>20000</v>
      </c>
      <c r="J94" s="71" t="s">
        <v>175</v>
      </c>
      <c r="K94" s="71"/>
    </row>
    <row r="95" spans="2:11" x14ac:dyDescent="0.3">
      <c r="B95" s="4" t="s">
        <v>176</v>
      </c>
      <c r="C95" s="7">
        <v>2500</v>
      </c>
      <c r="D95" s="7">
        <f>D94/D88</f>
        <v>140</v>
      </c>
      <c r="E95" s="7">
        <v>1200</v>
      </c>
      <c r="F95" s="4">
        <v>350</v>
      </c>
      <c r="J95" s="71"/>
      <c r="K95" s="71"/>
    </row>
    <row r="96" spans="2:11" x14ac:dyDescent="0.3">
      <c r="J96" s="71"/>
      <c r="K96" s="71"/>
    </row>
    <row r="97" spans="2:11" x14ac:dyDescent="0.3">
      <c r="B97" s="4" t="s">
        <v>177</v>
      </c>
      <c r="C97" s="13">
        <f>C94*C90</f>
        <v>1460000</v>
      </c>
      <c r="D97" s="13">
        <f t="shared" ref="D97:F97" si="13">D94*D90</f>
        <v>86800</v>
      </c>
      <c r="E97" s="13">
        <f t="shared" si="13"/>
        <v>1159200</v>
      </c>
      <c r="F97" s="13">
        <f t="shared" si="13"/>
        <v>285600</v>
      </c>
      <c r="G97" s="13">
        <f>SUM(C97:F97)</f>
        <v>2991600</v>
      </c>
      <c r="J97" s="71"/>
      <c r="K97" s="71"/>
    </row>
    <row r="98" spans="2:11" x14ac:dyDescent="0.3">
      <c r="B98" s="4" t="s">
        <v>127</v>
      </c>
      <c r="G98" s="66">
        <v>520000</v>
      </c>
      <c r="J98" s="71"/>
      <c r="K98" s="71"/>
    </row>
    <row r="99" spans="2:11" ht="14.4" customHeight="1" x14ac:dyDescent="0.3">
      <c r="B99" s="4" t="s">
        <v>149</v>
      </c>
      <c r="G99" s="13">
        <f>G97-G98</f>
        <v>2471600</v>
      </c>
      <c r="J99" s="71"/>
      <c r="K99" s="71"/>
    </row>
    <row r="100" spans="2:11" x14ac:dyDescent="0.3">
      <c r="J100" s="71"/>
      <c r="K100" s="71"/>
    </row>
    <row r="101" spans="2:11" x14ac:dyDescent="0.3">
      <c r="B101" s="4" t="s">
        <v>171</v>
      </c>
      <c r="G101" s="13">
        <f>G99-F43</f>
        <v>20200</v>
      </c>
    </row>
  </sheetData>
  <mergeCells count="7">
    <mergeCell ref="J34:J39"/>
    <mergeCell ref="J60:K63"/>
    <mergeCell ref="J94:K100"/>
    <mergeCell ref="C74:E75"/>
    <mergeCell ref="C69:F69"/>
    <mergeCell ref="J54:K58"/>
    <mergeCell ref="I42:I43"/>
  </mergeCells>
  <printOptions gridLines="1"/>
  <pageMargins left="0.7" right="0.7" top="0.75" bottom="0.75" header="0.3" footer="0.3"/>
  <pageSetup paperSize="9" scale="53" orientation="portrait" r:id="rId1"/>
  <rowBreaks count="1" manualBreakCount="1">
    <brk id="45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3E27-F449-43C0-B5D9-6C4F307F664D}">
  <dimension ref="A1:H10"/>
  <sheetViews>
    <sheetView workbookViewId="0"/>
  </sheetViews>
  <sheetFormatPr defaultColWidth="9.109375" defaultRowHeight="14.4" x14ac:dyDescent="0.3"/>
  <cols>
    <col min="1" max="1" width="123.6640625" style="63" customWidth="1"/>
    <col min="2" max="16384" width="9.109375" style="63"/>
  </cols>
  <sheetData>
    <row r="1" spans="1:8" x14ac:dyDescent="0.3">
      <c r="A1" s="67" t="s">
        <v>178</v>
      </c>
      <c r="B1" s="67" t="s">
        <v>97</v>
      </c>
      <c r="G1" s="68"/>
      <c r="H1" s="69"/>
    </row>
    <row r="2" spans="1:8" x14ac:dyDescent="0.3">
      <c r="A2" s="63" t="s">
        <v>179</v>
      </c>
      <c r="B2" s="67">
        <v>4</v>
      </c>
    </row>
    <row r="3" spans="1:8" x14ac:dyDescent="0.3">
      <c r="A3" s="63" t="s">
        <v>180</v>
      </c>
    </row>
    <row r="4" spans="1:8" x14ac:dyDescent="0.3">
      <c r="A4" s="63" t="s">
        <v>181</v>
      </c>
    </row>
    <row r="5" spans="1:8" x14ac:dyDescent="0.3">
      <c r="A5" s="63" t="s">
        <v>182</v>
      </c>
    </row>
    <row r="6" spans="1:8" x14ac:dyDescent="0.3">
      <c r="A6" s="63" t="s">
        <v>183</v>
      </c>
    </row>
    <row r="7" spans="1:8" x14ac:dyDescent="0.3">
      <c r="A7" s="63" t="s">
        <v>184</v>
      </c>
    </row>
    <row r="9" spans="1:8" x14ac:dyDescent="0.3">
      <c r="A9" s="63" t="s">
        <v>185</v>
      </c>
    </row>
    <row r="10" spans="1:8" x14ac:dyDescent="0.3">
      <c r="A10" s="63" t="s">
        <v>186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A5AA676D2624AA7FE72318C9F5667" ma:contentTypeVersion="11" ma:contentTypeDescription="Create a new document." ma:contentTypeScope="" ma:versionID="0feb9b6a8f7fdbbaa0ec5669e84554e5">
  <xsd:schema xmlns:xsd="http://www.w3.org/2001/XMLSchema" xmlns:xs="http://www.w3.org/2001/XMLSchema" xmlns:p="http://schemas.microsoft.com/office/2006/metadata/properties" xmlns:ns2="d125b3f6-d0e6-4703-adf4-6684bfb85344" xmlns:ns3="04c0c4c1-8f5a-4404-9dca-a6e74bdc6e20" targetNamespace="http://schemas.microsoft.com/office/2006/metadata/properties" ma:root="true" ma:fieldsID="47a9ed1d410b20827ded8140f0aff4d1" ns2:_="" ns3:_="">
    <xsd:import namespace="d125b3f6-d0e6-4703-adf4-6684bfb85344"/>
    <xsd:import namespace="04c0c4c1-8f5a-4404-9dca-a6e74bdc6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3f6-d0e6-4703-adf4-6684bfb85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0c4c1-8f5a-4404-9dca-a6e74bdc6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308C4E-C59B-4DBC-8B08-A8D3DF79C5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AE1EC5-5772-4CF1-950E-83C981A15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5b3f6-d0e6-4703-adf4-6684bfb85344"/>
    <ds:schemaRef ds:uri="04c0c4c1-8f5a-4404-9dca-a6e74bdc6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30ED06-F652-4D0A-8741-01536A150043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d125b3f6-d0e6-4703-adf4-6684bfb85344"/>
    <ds:schemaRef ds:uri="http://schemas.microsoft.com/office/2006/documentManagement/types"/>
    <ds:schemaRef ds:uri="http://purl.org/dc/dcmitype/"/>
    <ds:schemaRef ds:uri="http://schemas.microsoft.com/office/infopath/2007/PartnerControls"/>
    <ds:schemaRef ds:uri="04c0c4c1-8f5a-4404-9dca-a6e74bdc6e2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Task 1a-b</vt:lpstr>
      <vt:lpstr>Task 2 Value</vt:lpstr>
      <vt:lpstr>Task 2 Formula </vt:lpstr>
      <vt:lpstr>Task 3a-c</vt:lpstr>
      <vt:lpstr>Task 3d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Kirstie Casson</dc:creator>
  <cp:keywords/>
  <dc:description/>
  <cp:lastModifiedBy>Anna Murray</cp:lastModifiedBy>
  <cp:revision/>
  <dcterms:created xsi:type="dcterms:W3CDTF">2020-01-20T13:53:32Z</dcterms:created>
  <dcterms:modified xsi:type="dcterms:W3CDTF">2024-07-08T15:11:31Z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0x010100120A5AA676D2624AA7FE72318C9F5667</vt:lpwstr>
  </property>
  <property fmtid="{D5CDD505-2E9C-101B-9397-08002B2CF9AE}" pid="3" name="MediaServiceImageTags">
    <vt:lpwstr/>
  </property>
</Properties>
</file>